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C:\Users\JasonPeel\Downloads\"/>
    </mc:Choice>
  </mc:AlternateContent>
  <xr:revisionPtr revIDLastSave="0" documentId="8_{8A3879B4-5526-4A03-8581-ADB825B094B4}" xr6:coauthVersionLast="47" xr6:coauthVersionMax="47" xr10:uidLastSave="{00000000-0000-0000-0000-000000000000}"/>
  <bookViews>
    <workbookView xWindow="-110" yWindow="-110" windowWidth="19420" windowHeight="10300" tabRatio="815" xr2:uid="{C8631FB3-7152-4A21-B0BC-A840C1918AA4}"/>
  </bookViews>
  <sheets>
    <sheet name="START HERE" sheetId="4" r:id="rId1"/>
    <sheet name="Organization" sheetId="8" r:id="rId2"/>
    <sheet name="Product" sheetId="9" r:id="rId3"/>
    <sheet name="Infrastructure" sheetId="10" r:id="rId4"/>
    <sheet name="IT Accessibility" sheetId="11" r:id="rId5"/>
    <sheet name="Case-Specific" sheetId="12" r:id="rId6"/>
    <sheet name="AI" sheetId="13" r:id="rId7"/>
    <sheet name="Privacy" sheetId="14" r:id="rId8"/>
    <sheet name="Institution Evaluation" sheetId="22" r:id="rId9"/>
    <sheet name="High-Risk Evaluation" sheetId="21" r:id="rId10"/>
    <sheet name="Privacy Analyst Evaluation" sheetId="25" r:id="rId11"/>
    <sheet name="Analyst Reference" sheetId="16" r:id="rId12"/>
    <sheet name="Questions" sheetId="2" state="hidden" r:id="rId13"/>
    <sheet name="Auto Responses" sheetId="3" state="hidden" r:id="rId14"/>
    <sheet name="(backend scoring)" sheetId="20" state="hidden" r:id="rId15"/>
  </sheets>
  <definedNames>
    <definedName name="_xlnm._FilterDatabase" localSheetId="14" hidden="1">'(backend scoring)'!$A$2:$V$333</definedName>
    <definedName name="_xlnm._FilterDatabase" localSheetId="8" hidden="1">'Institution Evaluation'!$H$2:$I$2</definedName>
    <definedName name="_xlnm._FilterDatabase" localSheetId="10" hidden="1">'Privacy Analyst Evaluation'!$H$2:$I$2</definedName>
    <definedName name="_xlnm._FilterDatabase" localSheetId="12" hidden="1">Questions!$A$2:$X$334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33" i="20" l="1"/>
  <c r="A332" i="20"/>
  <c r="A331" i="20"/>
  <c r="A330" i="20"/>
  <c r="A329" i="20"/>
  <c r="A328" i="20"/>
  <c r="A327" i="20"/>
  <c r="A326" i="20"/>
  <c r="A325" i="20"/>
  <c r="A324" i="20"/>
  <c r="A323" i="20"/>
  <c r="A322" i="20"/>
  <c r="A321" i="20"/>
  <c r="A320" i="20"/>
  <c r="A319" i="20"/>
  <c r="A318" i="20"/>
  <c r="A317" i="20"/>
  <c r="A316" i="20"/>
  <c r="A315" i="20"/>
  <c r="A314" i="20"/>
  <c r="A313" i="20"/>
  <c r="A312" i="20"/>
  <c r="A311" i="20"/>
  <c r="A310" i="20"/>
  <c r="A309" i="20"/>
  <c r="A308" i="20"/>
  <c r="A307" i="20"/>
  <c r="A306" i="20"/>
  <c r="A305" i="20"/>
  <c r="A304" i="20"/>
  <c r="A303" i="20"/>
  <c r="A302" i="20"/>
  <c r="A301" i="20"/>
  <c r="A300" i="20"/>
  <c r="A299" i="20"/>
  <c r="A298" i="20"/>
  <c r="A297" i="20"/>
  <c r="A296" i="20"/>
  <c r="A295" i="20"/>
  <c r="A294" i="20"/>
  <c r="A293" i="20"/>
  <c r="A292" i="20"/>
  <c r="A291" i="20"/>
  <c r="A290" i="20"/>
  <c r="A289" i="20"/>
  <c r="A288" i="20"/>
  <c r="A287" i="20"/>
  <c r="A286" i="20"/>
  <c r="A285" i="20"/>
  <c r="A284" i="20"/>
  <c r="A283" i="20"/>
  <c r="A282" i="20"/>
  <c r="A281" i="20"/>
  <c r="A280" i="20"/>
  <c r="A279" i="20"/>
  <c r="A278" i="20"/>
  <c r="A277" i="20"/>
  <c r="A276" i="20"/>
  <c r="A275" i="20"/>
  <c r="A274" i="20"/>
  <c r="A273" i="20"/>
  <c r="A272" i="20"/>
  <c r="A271" i="20"/>
  <c r="A270" i="20"/>
  <c r="A269" i="20"/>
  <c r="A268" i="20"/>
  <c r="A267" i="20"/>
  <c r="A266" i="20"/>
  <c r="A265" i="20"/>
  <c r="A264" i="20"/>
  <c r="A263" i="20"/>
  <c r="A262" i="20"/>
  <c r="A261" i="20"/>
  <c r="A260" i="20"/>
  <c r="A259" i="20"/>
  <c r="A258" i="20"/>
  <c r="A257" i="20"/>
  <c r="A256" i="20"/>
  <c r="A255" i="20"/>
  <c r="A254" i="20"/>
  <c r="A253" i="20"/>
  <c r="A252" i="20"/>
  <c r="A251" i="20"/>
  <c r="A250" i="20"/>
  <c r="A249" i="20"/>
  <c r="A248" i="20"/>
  <c r="A247" i="20"/>
  <c r="A246" i="20"/>
  <c r="A245" i="20"/>
  <c r="A244" i="20"/>
  <c r="A243" i="20"/>
  <c r="A242" i="20"/>
  <c r="A241" i="20"/>
  <c r="A240" i="20"/>
  <c r="A239" i="20"/>
  <c r="A238" i="20"/>
  <c r="A237" i="20"/>
  <c r="A236" i="20"/>
  <c r="A235" i="20"/>
  <c r="A234" i="20"/>
  <c r="A233" i="20"/>
  <c r="A232" i="20"/>
  <c r="A231" i="20"/>
  <c r="A230" i="20"/>
  <c r="A229" i="20"/>
  <c r="A228" i="20"/>
  <c r="A227" i="20"/>
  <c r="A226" i="20"/>
  <c r="A225" i="20"/>
  <c r="A224" i="20"/>
  <c r="A223" i="20"/>
  <c r="A222" i="20"/>
  <c r="A221" i="20"/>
  <c r="A220" i="20"/>
  <c r="A219" i="20"/>
  <c r="A218" i="20"/>
  <c r="A217" i="20"/>
  <c r="A216" i="20"/>
  <c r="A215" i="20"/>
  <c r="A214" i="20"/>
  <c r="A213" i="20"/>
  <c r="A212" i="20"/>
  <c r="A211" i="20"/>
  <c r="A210" i="20"/>
  <c r="A209" i="20"/>
  <c r="A208" i="20"/>
  <c r="A207" i="20"/>
  <c r="A206" i="20"/>
  <c r="A205" i="20"/>
  <c r="A204" i="20"/>
  <c r="A203" i="20"/>
  <c r="A202" i="20"/>
  <c r="A201" i="20"/>
  <c r="A200" i="20"/>
  <c r="A199" i="20"/>
  <c r="A198" i="20"/>
  <c r="A197" i="20"/>
  <c r="A196" i="20"/>
  <c r="A195" i="20"/>
  <c r="A194" i="20"/>
  <c r="A193" i="20"/>
  <c r="A192" i="20"/>
  <c r="A191" i="20"/>
  <c r="A190" i="20"/>
  <c r="A189" i="20"/>
  <c r="A188" i="20"/>
  <c r="A187" i="20"/>
  <c r="A186" i="20"/>
  <c r="A185" i="20"/>
  <c r="A184" i="20"/>
  <c r="A183" i="20"/>
  <c r="A182" i="20"/>
  <c r="A181" i="20"/>
  <c r="A180" i="20"/>
  <c r="A179" i="20"/>
  <c r="A178" i="20"/>
  <c r="A177" i="20"/>
  <c r="A176" i="20"/>
  <c r="A175" i="20"/>
  <c r="A174" i="20"/>
  <c r="A173" i="20"/>
  <c r="A172" i="20"/>
  <c r="A171" i="20"/>
  <c r="A170" i="20"/>
  <c r="A169" i="20"/>
  <c r="A168" i="20"/>
  <c r="A167" i="20"/>
  <c r="A166" i="20"/>
  <c r="A165" i="20"/>
  <c r="A164" i="20"/>
  <c r="A163" i="20"/>
  <c r="A162" i="20"/>
  <c r="A161" i="20"/>
  <c r="A160" i="20"/>
  <c r="A159" i="20"/>
  <c r="A158" i="20"/>
  <c r="A157" i="20"/>
  <c r="A156" i="20"/>
  <c r="A155" i="20"/>
  <c r="A154" i="20"/>
  <c r="A153" i="20"/>
  <c r="A152" i="20"/>
  <c r="A151" i="20"/>
  <c r="A150" i="20"/>
  <c r="A149" i="20"/>
  <c r="A148" i="20"/>
  <c r="A147" i="20"/>
  <c r="A146" i="20"/>
  <c r="A145" i="20"/>
  <c r="A144" i="20"/>
  <c r="A143" i="20"/>
  <c r="A142" i="20"/>
  <c r="A141" i="20"/>
  <c r="A140" i="20"/>
  <c r="A139" i="20"/>
  <c r="A138" i="20"/>
  <c r="A137" i="20"/>
  <c r="A136" i="20"/>
  <c r="A135" i="20"/>
  <c r="A134" i="20"/>
  <c r="A133" i="20"/>
  <c r="A132" i="20"/>
  <c r="A131" i="20"/>
  <c r="A130" i="20"/>
  <c r="A129" i="20"/>
  <c r="A128" i="20"/>
  <c r="A127" i="20"/>
  <c r="A126" i="20"/>
  <c r="A125" i="20"/>
  <c r="A124" i="20"/>
  <c r="A123" i="20"/>
  <c r="A122" i="20"/>
  <c r="A121" i="20"/>
  <c r="A120" i="20"/>
  <c r="A119" i="20"/>
  <c r="A118" i="20"/>
  <c r="A117" i="20"/>
  <c r="A116" i="20"/>
  <c r="A115" i="20"/>
  <c r="A114" i="20"/>
  <c r="A113" i="20"/>
  <c r="A112" i="20"/>
  <c r="A111" i="20"/>
  <c r="A110" i="20"/>
  <c r="A109" i="20"/>
  <c r="A108" i="20"/>
  <c r="A107" i="20"/>
  <c r="A106" i="20"/>
  <c r="A105" i="20"/>
  <c r="A104" i="20"/>
  <c r="A103" i="20"/>
  <c r="A102" i="20"/>
  <c r="A101" i="20"/>
  <c r="A100" i="20"/>
  <c r="A99" i="20"/>
  <c r="A98" i="20"/>
  <c r="A97" i="20"/>
  <c r="A96" i="20"/>
  <c r="A95" i="20"/>
  <c r="A94" i="20"/>
  <c r="A93" i="20"/>
  <c r="A92" i="20"/>
  <c r="A91" i="20"/>
  <c r="A90" i="20"/>
  <c r="A89" i="20"/>
  <c r="A88" i="20"/>
  <c r="A87" i="20"/>
  <c r="A86" i="20"/>
  <c r="A85" i="20"/>
  <c r="A84" i="20"/>
  <c r="A83" i="20"/>
  <c r="A82" i="20"/>
  <c r="A81" i="20"/>
  <c r="A80" i="20"/>
  <c r="A79" i="20"/>
  <c r="A78" i="20"/>
  <c r="A77" i="20"/>
  <c r="A76" i="20"/>
  <c r="A75" i="20"/>
  <c r="A74" i="20"/>
  <c r="A73" i="20"/>
  <c r="A72" i="20"/>
  <c r="A71" i="20"/>
  <c r="A70" i="20"/>
  <c r="A69" i="20"/>
  <c r="A68" i="20"/>
  <c r="A67" i="20"/>
  <c r="A66" i="20"/>
  <c r="A65" i="20"/>
  <c r="A64" i="20"/>
  <c r="A63" i="20"/>
  <c r="A62" i="20"/>
  <c r="A61" i="20"/>
  <c r="A60" i="20"/>
  <c r="A59" i="20"/>
  <c r="A58" i="20"/>
  <c r="A57" i="20"/>
  <c r="A56" i="20"/>
  <c r="A55" i="20"/>
  <c r="A54" i="20"/>
  <c r="A53" i="20"/>
  <c r="A52" i="20"/>
  <c r="A51" i="20"/>
  <c r="A50" i="20"/>
  <c r="A49" i="20"/>
  <c r="A48" i="20"/>
  <c r="A47" i="20"/>
  <c r="A46" i="20"/>
  <c r="A45" i="20"/>
  <c r="A44" i="20"/>
  <c r="A43" i="20"/>
  <c r="A42" i="20"/>
  <c r="A41" i="20"/>
  <c r="A40" i="20"/>
  <c r="A39" i="20"/>
  <c r="A38" i="20"/>
  <c r="A37" i="20"/>
  <c r="A36" i="20"/>
  <c r="A35" i="20"/>
  <c r="A34" i="20"/>
  <c r="A33" i="20"/>
  <c r="A32" i="20"/>
  <c r="A31" i="20"/>
  <c r="A30" i="20"/>
  <c r="A29" i="20"/>
  <c r="A28" i="20"/>
  <c r="A27" i="20"/>
  <c r="A26" i="20"/>
  <c r="A25" i="20"/>
  <c r="A24" i="20"/>
  <c r="A23" i="20"/>
  <c r="A22" i="20"/>
  <c r="A21" i="20"/>
  <c r="A20" i="20"/>
  <c r="A19" i="20"/>
  <c r="A18" i="20"/>
  <c r="A17" i="20"/>
  <c r="A16" i="20"/>
  <c r="A15" i="20"/>
  <c r="A14" i="20"/>
  <c r="A13" i="20"/>
  <c r="A12" i="20"/>
  <c r="A11" i="20"/>
  <c r="A10" i="20"/>
  <c r="A9" i="20"/>
  <c r="A8" i="20"/>
  <c r="A7" i="20"/>
  <c r="A6" i="20"/>
  <c r="A5" i="20"/>
  <c r="A4" i="20"/>
  <c r="A3" i="20"/>
  <c r="A32" i="3"/>
  <c r="X334" i="2"/>
  <c r="X333" i="2"/>
  <c r="X332" i="2"/>
  <c r="X331" i="2"/>
  <c r="X330" i="2"/>
  <c r="X329" i="2"/>
  <c r="X328" i="2"/>
  <c r="X327" i="2"/>
  <c r="X326" i="2"/>
  <c r="X325" i="2"/>
  <c r="X324" i="2"/>
  <c r="X323" i="2"/>
  <c r="X322" i="2"/>
  <c r="X321" i="2"/>
  <c r="X320" i="2"/>
  <c r="X319" i="2"/>
  <c r="X317" i="2"/>
  <c r="X316" i="2"/>
  <c r="X315" i="2"/>
  <c r="X314" i="2"/>
  <c r="X313" i="2"/>
  <c r="X312" i="2"/>
  <c r="X311" i="2"/>
  <c r="X310" i="2"/>
  <c r="X309" i="2"/>
  <c r="X307" i="2"/>
  <c r="X306" i="2"/>
  <c r="X305" i="2"/>
  <c r="X237" i="2"/>
  <c r="X234" i="2"/>
  <c r="X233" i="2"/>
  <c r="X232" i="2"/>
  <c r="X231" i="2"/>
  <c r="X230" i="2"/>
  <c r="X229" i="2"/>
  <c r="X228" i="2"/>
  <c r="X226" i="2"/>
  <c r="X223" i="2"/>
  <c r="X222" i="2"/>
  <c r="X221" i="2"/>
  <c r="X220" i="2"/>
  <c r="X219" i="2"/>
  <c r="X218" i="2"/>
  <c r="X217" i="2"/>
  <c r="X216" i="2"/>
  <c r="X215" i="2"/>
  <c r="X214" i="2"/>
  <c r="X213" i="2"/>
  <c r="X212" i="2"/>
  <c r="X211" i="2"/>
  <c r="X210" i="2"/>
  <c r="X209" i="2"/>
  <c r="X208" i="2"/>
  <c r="X207" i="2"/>
  <c r="X206" i="2"/>
  <c r="X205" i="2"/>
  <c r="X204" i="2"/>
  <c r="X203" i="2"/>
  <c r="X202" i="2"/>
  <c r="X201" i="2"/>
  <c r="X200" i="2"/>
  <c r="X199" i="2"/>
  <c r="X198" i="2"/>
  <c r="X197" i="2"/>
  <c r="X196" i="2"/>
  <c r="X195" i="2"/>
  <c r="X194" i="2"/>
  <c r="X193" i="2"/>
  <c r="X192" i="2"/>
  <c r="X191" i="2"/>
  <c r="X190" i="2"/>
  <c r="X189" i="2"/>
  <c r="X188" i="2"/>
  <c r="X187" i="2"/>
  <c r="X186" i="2"/>
  <c r="X185" i="2"/>
  <c r="X184" i="2"/>
  <c r="X183" i="2"/>
  <c r="X182" i="2"/>
  <c r="X181" i="2"/>
  <c r="X180" i="2"/>
  <c r="X179" i="2"/>
  <c r="X178" i="2"/>
  <c r="X177" i="2"/>
  <c r="X176" i="2"/>
  <c r="X175" i="2"/>
  <c r="X174" i="2"/>
  <c r="X173" i="2"/>
  <c r="X172" i="2"/>
  <c r="X171" i="2"/>
  <c r="X170" i="2"/>
  <c r="X169" i="2"/>
  <c r="X168" i="2"/>
  <c r="X167" i="2"/>
  <c r="X166" i="2"/>
  <c r="X165" i="2"/>
  <c r="X164" i="2"/>
  <c r="X163" i="2"/>
  <c r="X162" i="2"/>
  <c r="X161" i="2"/>
  <c r="X159" i="2"/>
  <c r="X158" i="2"/>
  <c r="X157" i="2"/>
  <c r="X156" i="2"/>
  <c r="X155" i="2"/>
  <c r="X154" i="2"/>
  <c r="X153" i="2"/>
  <c r="X152" i="2"/>
  <c r="X151" i="2"/>
  <c r="X150" i="2"/>
  <c r="X149" i="2"/>
  <c r="X148" i="2"/>
  <c r="X147" i="2"/>
  <c r="X146" i="2"/>
  <c r="X145" i="2"/>
  <c r="X144" i="2"/>
  <c r="X143" i="2"/>
  <c r="X142" i="2"/>
  <c r="X141" i="2"/>
  <c r="X140" i="2"/>
  <c r="X139" i="2"/>
  <c r="X138" i="2"/>
  <c r="X137" i="2"/>
  <c r="X136" i="2"/>
  <c r="X134" i="2"/>
  <c r="X133" i="2"/>
  <c r="X132" i="2"/>
  <c r="X131" i="2"/>
  <c r="X130" i="2"/>
  <c r="X129" i="2"/>
  <c r="X128" i="2"/>
  <c r="X127" i="2"/>
  <c r="X126" i="2"/>
  <c r="X125" i="2"/>
  <c r="X124" i="2"/>
  <c r="X123" i="2"/>
  <c r="X122" i="2"/>
  <c r="X121" i="2"/>
  <c r="X120" i="2"/>
  <c r="X119" i="2"/>
  <c r="X118" i="2"/>
  <c r="X117" i="2"/>
  <c r="X116" i="2"/>
  <c r="X115" i="2"/>
  <c r="X114" i="2"/>
  <c r="X113" i="2"/>
  <c r="X112" i="2"/>
  <c r="X111" i="2"/>
  <c r="X110" i="2"/>
  <c r="X109" i="2"/>
  <c r="X108" i="2"/>
  <c r="X107" i="2"/>
  <c r="X106" i="2"/>
  <c r="X105" i="2"/>
  <c r="X104" i="2"/>
  <c r="X103" i="2"/>
  <c r="X102" i="2"/>
  <c r="X101" i="2"/>
  <c r="X100" i="2"/>
  <c r="X99" i="2"/>
  <c r="X98" i="2"/>
  <c r="X97" i="2"/>
  <c r="X96" i="2"/>
  <c r="X95" i="2"/>
  <c r="X94" i="2"/>
  <c r="X93" i="2"/>
  <c r="X92" i="2"/>
  <c r="X91" i="2"/>
  <c r="X90" i="2"/>
  <c r="X89" i="2"/>
  <c r="X88"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6" i="2"/>
  <c r="X45" i="2"/>
  <c r="X44" i="2"/>
  <c r="X43" i="2"/>
  <c r="X42" i="2"/>
  <c r="X41" i="2"/>
  <c r="X40" i="2"/>
  <c r="X39" i="2"/>
  <c r="X38" i="2"/>
  <c r="X37" i="2"/>
  <c r="X31" i="2"/>
  <c r="X30" i="2"/>
  <c r="X29" i="2"/>
  <c r="X28" i="2"/>
  <c r="X27" i="2"/>
  <c r="X26" i="2"/>
  <c r="X25" i="2"/>
  <c r="X15" i="2"/>
  <c r="X14" i="2"/>
  <c r="X12" i="2"/>
  <c r="D385" i="16"/>
  <c r="C385" i="16"/>
  <c r="B385" i="16"/>
  <c r="D384" i="16"/>
  <c r="C384" i="16"/>
  <c r="B384" i="16"/>
  <c r="D383" i="16"/>
  <c r="C383" i="16"/>
  <c r="B383" i="16"/>
  <c r="D382" i="16"/>
  <c r="C382" i="16"/>
  <c r="B382" i="16"/>
  <c r="D381" i="16"/>
  <c r="C381" i="16"/>
  <c r="B381" i="16"/>
  <c r="D380" i="16"/>
  <c r="C380" i="16"/>
  <c r="B380" i="16"/>
  <c r="D379" i="16"/>
  <c r="C379" i="16"/>
  <c r="B379" i="16"/>
  <c r="D378" i="16"/>
  <c r="C378" i="16"/>
  <c r="B378" i="16"/>
  <c r="D377" i="16"/>
  <c r="C377" i="16"/>
  <c r="A377" i="16"/>
  <c r="D376" i="16"/>
  <c r="C376" i="16"/>
  <c r="B376" i="16"/>
  <c r="D375" i="16"/>
  <c r="C375" i="16"/>
  <c r="B375" i="16"/>
  <c r="D374" i="16"/>
  <c r="C374" i="16"/>
  <c r="B374" i="16"/>
  <c r="D373" i="16"/>
  <c r="C373" i="16"/>
  <c r="B373" i="16"/>
  <c r="D372" i="16"/>
  <c r="C372" i="16"/>
  <c r="B372" i="16"/>
  <c r="D371" i="16"/>
  <c r="C371" i="16"/>
  <c r="B371" i="16"/>
  <c r="D370" i="16"/>
  <c r="C370" i="16"/>
  <c r="B370" i="16"/>
  <c r="D369" i="16"/>
  <c r="C369" i="16"/>
  <c r="B369" i="16"/>
  <c r="D368" i="16"/>
  <c r="C368" i="16"/>
  <c r="B368" i="16"/>
  <c r="D367" i="16"/>
  <c r="C367" i="16"/>
  <c r="B367" i="16"/>
  <c r="D366" i="16"/>
  <c r="C366" i="16"/>
  <c r="B366" i="16"/>
  <c r="D365" i="16"/>
  <c r="C365" i="16"/>
  <c r="B365" i="16"/>
  <c r="D364" i="16"/>
  <c r="C364" i="16"/>
  <c r="B364" i="16"/>
  <c r="D363" i="16"/>
  <c r="C363" i="16"/>
  <c r="B363" i="16"/>
  <c r="D362" i="16"/>
  <c r="C362" i="16"/>
  <c r="B362" i="16"/>
  <c r="D361" i="16"/>
  <c r="C361" i="16"/>
  <c r="A361" i="16"/>
  <c r="D360" i="16"/>
  <c r="C360" i="16"/>
  <c r="B360" i="16"/>
  <c r="D359" i="16"/>
  <c r="C359" i="16"/>
  <c r="B359" i="16"/>
  <c r="D358" i="16"/>
  <c r="C358" i="16"/>
  <c r="B358" i="16"/>
  <c r="D357" i="16"/>
  <c r="C357" i="16"/>
  <c r="B357" i="16"/>
  <c r="D356" i="16"/>
  <c r="C356" i="16"/>
  <c r="B356" i="16"/>
  <c r="D355" i="16"/>
  <c r="C355" i="16"/>
  <c r="A355" i="16"/>
  <c r="D354" i="16"/>
  <c r="C354" i="16"/>
  <c r="B354" i="16"/>
  <c r="D353" i="16"/>
  <c r="C353" i="16"/>
  <c r="B353" i="16"/>
  <c r="D352" i="16"/>
  <c r="C352" i="16"/>
  <c r="B352" i="16"/>
  <c r="D351" i="16"/>
  <c r="C351" i="16"/>
  <c r="B351" i="16"/>
  <c r="D350" i="16"/>
  <c r="C350" i="16"/>
  <c r="B350" i="16"/>
  <c r="D349" i="16"/>
  <c r="C349" i="16"/>
  <c r="B349" i="16"/>
  <c r="D348" i="16"/>
  <c r="C348" i="16"/>
  <c r="B348" i="16"/>
  <c r="D347" i="16"/>
  <c r="C347" i="16"/>
  <c r="B347" i="16"/>
  <c r="D346" i="16"/>
  <c r="C346" i="16"/>
  <c r="B346" i="16"/>
  <c r="D345" i="16"/>
  <c r="C345" i="16"/>
  <c r="B345" i="16"/>
  <c r="D344" i="16"/>
  <c r="C344" i="16"/>
  <c r="B344" i="16"/>
  <c r="D343" i="16"/>
  <c r="C343" i="16"/>
  <c r="B343" i="16"/>
  <c r="D342" i="16"/>
  <c r="C342" i="16"/>
  <c r="B342" i="16"/>
  <c r="D341" i="16"/>
  <c r="C341" i="16"/>
  <c r="A341" i="16"/>
  <c r="D340" i="16"/>
  <c r="C340" i="16"/>
  <c r="B340" i="16"/>
  <c r="D339" i="16"/>
  <c r="C339" i="16"/>
  <c r="B339" i="16"/>
  <c r="D338" i="16"/>
  <c r="C338" i="16"/>
  <c r="B338" i="16"/>
  <c r="D337" i="16"/>
  <c r="C337" i="16"/>
  <c r="B337" i="16"/>
  <c r="D336" i="16"/>
  <c r="C336" i="16"/>
  <c r="B336" i="16"/>
  <c r="D335" i="16"/>
  <c r="C335" i="16"/>
  <c r="B335" i="16"/>
  <c r="D334" i="16"/>
  <c r="C334" i="16"/>
  <c r="B334" i="16"/>
  <c r="D333" i="16"/>
  <c r="C333" i="16"/>
  <c r="B333" i="16"/>
  <c r="D332" i="16"/>
  <c r="C332" i="16"/>
  <c r="A332" i="16"/>
  <c r="D331" i="16"/>
  <c r="C331" i="16"/>
  <c r="B331" i="16"/>
  <c r="D330" i="16"/>
  <c r="C330" i="16"/>
  <c r="B330" i="16"/>
  <c r="D329" i="16"/>
  <c r="C329" i="16"/>
  <c r="A329" i="16"/>
  <c r="D328" i="16"/>
  <c r="C328" i="16"/>
  <c r="B328" i="16"/>
  <c r="D327" i="16"/>
  <c r="C327" i="16"/>
  <c r="B327" i="16"/>
  <c r="D326" i="16"/>
  <c r="C326" i="16"/>
  <c r="A326" i="16"/>
  <c r="D325" i="16"/>
  <c r="C325" i="16"/>
  <c r="B325" i="16"/>
  <c r="D324" i="16"/>
  <c r="C324" i="16"/>
  <c r="B324" i="16"/>
  <c r="D323" i="16"/>
  <c r="C323" i="16"/>
  <c r="B323" i="16"/>
  <c r="D322" i="16"/>
  <c r="C322" i="16"/>
  <c r="A322" i="16"/>
  <c r="D321" i="16"/>
  <c r="C321" i="16"/>
  <c r="B321" i="16"/>
  <c r="D320" i="16"/>
  <c r="C320" i="16"/>
  <c r="B320" i="16"/>
  <c r="D319" i="16"/>
  <c r="C319" i="16"/>
  <c r="B319" i="16"/>
  <c r="D318" i="16"/>
  <c r="C318" i="16"/>
  <c r="B318" i="16"/>
  <c r="D317" i="16"/>
  <c r="C317" i="16"/>
  <c r="A317" i="16"/>
  <c r="D316" i="16"/>
  <c r="C316" i="16"/>
  <c r="B316" i="16"/>
  <c r="D315" i="16"/>
  <c r="C315" i="16"/>
  <c r="B315" i="16"/>
  <c r="D314" i="16"/>
  <c r="C314" i="16"/>
  <c r="B314" i="16"/>
  <c r="D313" i="16"/>
  <c r="C313" i="16"/>
  <c r="B313" i="16"/>
  <c r="D312" i="16"/>
  <c r="C312" i="16"/>
  <c r="B312" i="16"/>
  <c r="D311" i="16"/>
  <c r="C311" i="16"/>
  <c r="A311" i="16"/>
  <c r="D310" i="16"/>
  <c r="C310" i="16"/>
  <c r="B310" i="16"/>
  <c r="D309" i="16"/>
  <c r="C309" i="16"/>
  <c r="B309" i="16"/>
  <c r="D308" i="16"/>
  <c r="C308" i="16"/>
  <c r="B308" i="16"/>
  <c r="D307" i="16"/>
  <c r="C307" i="16"/>
  <c r="B307" i="16"/>
  <c r="D306" i="16"/>
  <c r="C306" i="16"/>
  <c r="B306" i="16"/>
  <c r="D305" i="16"/>
  <c r="C305" i="16"/>
  <c r="B305" i="16"/>
  <c r="D304" i="16"/>
  <c r="C304" i="16"/>
  <c r="B304" i="16"/>
  <c r="D303" i="16"/>
  <c r="C303" i="16"/>
  <c r="B303" i="16"/>
  <c r="D302" i="16"/>
  <c r="C302" i="16"/>
  <c r="A302" i="16"/>
  <c r="D301" i="16"/>
  <c r="C301" i="16"/>
  <c r="B301" i="16"/>
  <c r="D300" i="16"/>
  <c r="C300" i="16"/>
  <c r="B300" i="16"/>
  <c r="D299" i="16"/>
  <c r="C299" i="16"/>
  <c r="B299" i="16"/>
  <c r="D298" i="16"/>
  <c r="C298" i="16"/>
  <c r="B298" i="16"/>
  <c r="D297" i="16"/>
  <c r="C297" i="16"/>
  <c r="B297" i="16"/>
  <c r="D296" i="16"/>
  <c r="C296" i="16"/>
  <c r="B296" i="16"/>
  <c r="D295" i="16"/>
  <c r="C295" i="16"/>
  <c r="B295" i="16"/>
  <c r="D294" i="16"/>
  <c r="C294" i="16"/>
  <c r="B294" i="16"/>
  <c r="D293" i="16"/>
  <c r="C293" i="16"/>
  <c r="A293" i="16"/>
  <c r="D292" i="16"/>
  <c r="C292" i="16"/>
  <c r="B292" i="16"/>
  <c r="D291" i="16"/>
  <c r="C291" i="16"/>
  <c r="B291" i="16"/>
  <c r="D290" i="16"/>
  <c r="C290" i="16"/>
  <c r="B290" i="16"/>
  <c r="D289" i="16"/>
  <c r="C289" i="16"/>
  <c r="B289" i="16"/>
  <c r="D288" i="16"/>
  <c r="C288" i="16"/>
  <c r="B288" i="16"/>
  <c r="D287" i="16"/>
  <c r="C287" i="16"/>
  <c r="A287" i="16"/>
  <c r="D286" i="16"/>
  <c r="C286" i="16"/>
  <c r="B286" i="16"/>
  <c r="D285" i="16"/>
  <c r="C285" i="16"/>
  <c r="B285" i="16"/>
  <c r="D284" i="16"/>
  <c r="C284" i="16"/>
  <c r="B284" i="16"/>
  <c r="D283" i="16"/>
  <c r="C283" i="16"/>
  <c r="B283" i="16"/>
  <c r="D282" i="16"/>
  <c r="C282" i="16"/>
  <c r="B282" i="16"/>
  <c r="D281" i="16"/>
  <c r="C281" i="16"/>
  <c r="A281" i="16"/>
  <c r="D280" i="16"/>
  <c r="C280" i="16"/>
  <c r="B280" i="16"/>
  <c r="D279" i="16"/>
  <c r="C279" i="16"/>
  <c r="B279" i="16"/>
  <c r="D278" i="16"/>
  <c r="C278" i="16"/>
  <c r="B278" i="16"/>
  <c r="D277" i="16"/>
  <c r="C277" i="16"/>
  <c r="B277" i="16"/>
  <c r="D276" i="16"/>
  <c r="C276" i="16"/>
  <c r="B276" i="16"/>
  <c r="D275" i="16"/>
  <c r="C275" i="16"/>
  <c r="A275" i="16"/>
  <c r="D274" i="16"/>
  <c r="C274" i="16"/>
  <c r="B274" i="16"/>
  <c r="D273" i="16"/>
  <c r="C273" i="16"/>
  <c r="B273" i="16"/>
  <c r="D272" i="16"/>
  <c r="C272" i="16"/>
  <c r="A272" i="16"/>
  <c r="D271" i="16"/>
  <c r="C271" i="16"/>
  <c r="B271" i="16"/>
  <c r="D270" i="16"/>
  <c r="C270" i="16"/>
  <c r="B270" i="16"/>
  <c r="D269" i="16"/>
  <c r="C269" i="16"/>
  <c r="B269" i="16"/>
  <c r="D268" i="16"/>
  <c r="C268" i="16"/>
  <c r="B268" i="16"/>
  <c r="D267" i="16"/>
  <c r="C267" i="16"/>
  <c r="B267" i="16"/>
  <c r="D266" i="16"/>
  <c r="C266" i="16"/>
  <c r="B266" i="16"/>
  <c r="D265" i="16"/>
  <c r="C265" i="16"/>
  <c r="B265" i="16"/>
  <c r="D264" i="16"/>
  <c r="C264" i="16"/>
  <c r="B264" i="16"/>
  <c r="D263" i="16"/>
  <c r="C263" i="16"/>
  <c r="B263" i="16"/>
  <c r="D262" i="16"/>
  <c r="C262" i="16"/>
  <c r="B262" i="16"/>
  <c r="D261" i="16"/>
  <c r="C261" i="16"/>
  <c r="A261" i="16"/>
  <c r="D260" i="16"/>
  <c r="C260" i="16"/>
  <c r="B260" i="16"/>
  <c r="D259" i="16"/>
  <c r="C259" i="16"/>
  <c r="B259" i="16"/>
  <c r="D258" i="16"/>
  <c r="C258" i="16"/>
  <c r="B258" i="16"/>
  <c r="D257" i="16"/>
  <c r="C257" i="16"/>
  <c r="B257" i="16"/>
  <c r="D256" i="16"/>
  <c r="C256" i="16"/>
  <c r="B256" i="16"/>
  <c r="D255" i="16"/>
  <c r="C255" i="16"/>
  <c r="B255" i="16"/>
  <c r="D254" i="16"/>
  <c r="C254" i="16"/>
  <c r="B254" i="16"/>
  <c r="D253" i="16"/>
  <c r="C253" i="16"/>
  <c r="B253" i="16"/>
  <c r="D252" i="16"/>
  <c r="C252" i="16"/>
  <c r="B252" i="16"/>
  <c r="D251" i="16"/>
  <c r="C251" i="16"/>
  <c r="B251" i="16"/>
  <c r="D250" i="16"/>
  <c r="C250" i="16"/>
  <c r="B250" i="16"/>
  <c r="D249" i="16"/>
  <c r="C249" i="16"/>
  <c r="B249" i="16"/>
  <c r="D248" i="16"/>
  <c r="C248" i="16"/>
  <c r="A248" i="16"/>
  <c r="D247" i="16"/>
  <c r="C247" i="16"/>
  <c r="B247" i="16"/>
  <c r="D246" i="16"/>
  <c r="C246" i="16"/>
  <c r="B246" i="16"/>
  <c r="D245" i="16"/>
  <c r="C245" i="16"/>
  <c r="B245" i="16"/>
  <c r="D244" i="16"/>
  <c r="C244" i="16"/>
  <c r="B244" i="16"/>
  <c r="D243" i="16"/>
  <c r="C243" i="16"/>
  <c r="B243" i="16"/>
  <c r="D242" i="16"/>
  <c r="C242" i="16"/>
  <c r="B242" i="16"/>
  <c r="D241" i="16"/>
  <c r="C241" i="16"/>
  <c r="B241" i="16"/>
  <c r="D240" i="16"/>
  <c r="C240" i="16"/>
  <c r="B240" i="16"/>
  <c r="D239" i="16"/>
  <c r="C239" i="16"/>
  <c r="B239" i="16"/>
  <c r="D238" i="16"/>
  <c r="C238" i="16"/>
  <c r="B238" i="16"/>
  <c r="D237" i="16"/>
  <c r="C237" i="16"/>
  <c r="B237" i="16"/>
  <c r="D236" i="16"/>
  <c r="C236" i="16"/>
  <c r="B236" i="16"/>
  <c r="D235" i="16"/>
  <c r="C235" i="16"/>
  <c r="B235" i="16"/>
  <c r="D234" i="16"/>
  <c r="C234" i="16"/>
  <c r="B234" i="16"/>
  <c r="D233" i="16"/>
  <c r="C233" i="16"/>
  <c r="B233" i="16"/>
  <c r="D232" i="16"/>
  <c r="C232" i="16"/>
  <c r="B232" i="16"/>
  <c r="D231" i="16"/>
  <c r="C231" i="16"/>
  <c r="B231" i="16"/>
  <c r="D230" i="16"/>
  <c r="C230" i="16"/>
  <c r="B230" i="16"/>
  <c r="D229" i="16"/>
  <c r="C229" i="16"/>
  <c r="B229" i="16"/>
  <c r="D228" i="16"/>
  <c r="C228" i="16"/>
  <c r="B228" i="16"/>
  <c r="D227" i="16"/>
  <c r="C227" i="16"/>
  <c r="B227" i="16"/>
  <c r="D226" i="16"/>
  <c r="C226" i="16"/>
  <c r="B226" i="16"/>
  <c r="D225" i="16"/>
  <c r="C225" i="16"/>
  <c r="B225" i="16"/>
  <c r="D224" i="16"/>
  <c r="C224" i="16"/>
  <c r="B224" i="16"/>
  <c r="D223" i="16"/>
  <c r="C223" i="16"/>
  <c r="B223" i="16"/>
  <c r="D222" i="16"/>
  <c r="C222" i="16"/>
  <c r="B222" i="16"/>
  <c r="D221" i="16"/>
  <c r="C221" i="16"/>
  <c r="B221" i="16"/>
  <c r="D220" i="16"/>
  <c r="C220" i="16"/>
  <c r="B220" i="16"/>
  <c r="D219" i="16"/>
  <c r="C219" i="16"/>
  <c r="B219" i="16"/>
  <c r="D218" i="16"/>
  <c r="C218" i="16"/>
  <c r="A218" i="16"/>
  <c r="D217" i="16"/>
  <c r="C217" i="16"/>
  <c r="B217" i="16"/>
  <c r="D216" i="16"/>
  <c r="C216" i="16"/>
  <c r="B216" i="16"/>
  <c r="D215" i="16"/>
  <c r="C215" i="16"/>
  <c r="B215" i="16"/>
  <c r="D214" i="16"/>
  <c r="C214" i="16"/>
  <c r="B214" i="16"/>
  <c r="D213" i="16"/>
  <c r="C213" i="16"/>
  <c r="B213" i="16"/>
  <c r="D212" i="16"/>
  <c r="C212" i="16"/>
  <c r="B212" i="16"/>
  <c r="D211" i="16"/>
  <c r="C211" i="16"/>
  <c r="B211" i="16"/>
  <c r="D210" i="16"/>
  <c r="C210" i="16"/>
  <c r="B210" i="16"/>
  <c r="D209" i="16"/>
  <c r="C209" i="16"/>
  <c r="B209" i="16"/>
  <c r="D208" i="16"/>
  <c r="C208" i="16"/>
  <c r="A208" i="16"/>
  <c r="D207" i="16"/>
  <c r="C207" i="16"/>
  <c r="B207" i="16"/>
  <c r="D206" i="16"/>
  <c r="C206" i="16"/>
  <c r="B206" i="16"/>
  <c r="D205" i="16"/>
  <c r="C205" i="16"/>
  <c r="B205" i="16"/>
  <c r="D204" i="16"/>
  <c r="C204" i="16"/>
  <c r="B204" i="16"/>
  <c r="D203" i="16"/>
  <c r="C203" i="16"/>
  <c r="B203" i="16"/>
  <c r="D202" i="16"/>
  <c r="C202" i="16"/>
  <c r="B202" i="16"/>
  <c r="D201" i="16"/>
  <c r="C201" i="16"/>
  <c r="B201" i="16"/>
  <c r="D200" i="16"/>
  <c r="C200" i="16"/>
  <c r="B200" i="16"/>
  <c r="D199" i="16"/>
  <c r="C199" i="16"/>
  <c r="B199" i="16"/>
  <c r="D198" i="16"/>
  <c r="C198" i="16"/>
  <c r="B198" i="16"/>
  <c r="D197" i="16"/>
  <c r="C197" i="16"/>
  <c r="B197" i="16"/>
  <c r="D196" i="16"/>
  <c r="C196" i="16"/>
  <c r="B196" i="16"/>
  <c r="D195" i="16"/>
  <c r="C195" i="16"/>
  <c r="B195" i="16"/>
  <c r="D194" i="16"/>
  <c r="C194" i="16"/>
  <c r="B194" i="16"/>
  <c r="D193" i="16"/>
  <c r="C193" i="16"/>
  <c r="B193" i="16"/>
  <c r="D192" i="16"/>
  <c r="C192" i="16"/>
  <c r="B192" i="16"/>
  <c r="D191" i="16"/>
  <c r="C191" i="16"/>
  <c r="B191" i="16"/>
  <c r="D190" i="16"/>
  <c r="C190" i="16"/>
  <c r="B190" i="16"/>
  <c r="D189" i="16"/>
  <c r="C189" i="16"/>
  <c r="A189" i="16"/>
  <c r="D188" i="16"/>
  <c r="C188" i="16"/>
  <c r="B188" i="16"/>
  <c r="D187" i="16"/>
  <c r="C187" i="16"/>
  <c r="B187" i="16"/>
  <c r="D186" i="16"/>
  <c r="C186" i="16"/>
  <c r="B186" i="16"/>
  <c r="D185" i="16"/>
  <c r="C185" i="16"/>
  <c r="B185" i="16"/>
  <c r="D184" i="16"/>
  <c r="C184" i="16"/>
  <c r="B184" i="16"/>
  <c r="D183" i="16"/>
  <c r="C183" i="16"/>
  <c r="B183" i="16"/>
  <c r="D182" i="16"/>
  <c r="C182" i="16"/>
  <c r="A182" i="16"/>
  <c r="D181" i="16"/>
  <c r="C181" i="16"/>
  <c r="B181" i="16"/>
  <c r="D180" i="16"/>
  <c r="C180" i="16"/>
  <c r="B180" i="16"/>
  <c r="D179" i="16"/>
  <c r="C179" i="16"/>
  <c r="B179" i="16"/>
  <c r="D178" i="16"/>
  <c r="C178" i="16"/>
  <c r="B178" i="16"/>
  <c r="D177" i="16"/>
  <c r="C177" i="16"/>
  <c r="A177" i="16"/>
  <c r="D176" i="16"/>
  <c r="C176" i="16"/>
  <c r="B176" i="16"/>
  <c r="D175" i="16"/>
  <c r="C175" i="16"/>
  <c r="B175" i="16"/>
  <c r="D174" i="16"/>
  <c r="C174" i="16"/>
  <c r="B174" i="16"/>
  <c r="D173" i="16"/>
  <c r="C173" i="16"/>
  <c r="B173" i="16"/>
  <c r="D172" i="16"/>
  <c r="C172" i="16"/>
  <c r="B172" i="16"/>
  <c r="D171" i="16"/>
  <c r="C171" i="16"/>
  <c r="B171" i="16"/>
  <c r="D170" i="16"/>
  <c r="C170" i="16"/>
  <c r="B170" i="16"/>
  <c r="D169" i="16"/>
  <c r="C169" i="16"/>
  <c r="B169" i="16"/>
  <c r="D168" i="16"/>
  <c r="C168" i="16"/>
  <c r="B168" i="16"/>
  <c r="D167" i="16"/>
  <c r="C167" i="16"/>
  <c r="B167" i="16"/>
  <c r="D166" i="16"/>
  <c r="C166" i="16"/>
  <c r="B166" i="16"/>
  <c r="D165" i="16"/>
  <c r="C165" i="16"/>
  <c r="A165" i="16"/>
  <c r="D164" i="16"/>
  <c r="C164" i="16"/>
  <c r="B164" i="16"/>
  <c r="D163" i="16"/>
  <c r="C163" i="16"/>
  <c r="B163" i="16"/>
  <c r="D162" i="16"/>
  <c r="C162" i="16"/>
  <c r="B162" i="16"/>
  <c r="D161" i="16"/>
  <c r="C161" i="16"/>
  <c r="B161" i="16"/>
  <c r="D160" i="16"/>
  <c r="C160" i="16"/>
  <c r="B160" i="16"/>
  <c r="D159" i="16"/>
  <c r="C159" i="16"/>
  <c r="B159" i="16"/>
  <c r="D158" i="16"/>
  <c r="C158" i="16"/>
  <c r="B158" i="16"/>
  <c r="D157" i="16"/>
  <c r="C157" i="16"/>
  <c r="B157" i="16"/>
  <c r="D156" i="16"/>
  <c r="C156" i="16"/>
  <c r="B156" i="16"/>
  <c r="D155" i="16"/>
  <c r="C155" i="16"/>
  <c r="B155" i="16"/>
  <c r="D154" i="16"/>
  <c r="C154" i="16"/>
  <c r="B154" i="16"/>
  <c r="D153" i="16"/>
  <c r="C153" i="16"/>
  <c r="B153" i="16"/>
  <c r="D152" i="16"/>
  <c r="C152" i="16"/>
  <c r="B152" i="16"/>
  <c r="D151" i="16"/>
  <c r="C151" i="16"/>
  <c r="B151" i="16"/>
  <c r="D150" i="16"/>
  <c r="C150" i="16"/>
  <c r="B150" i="16"/>
  <c r="D149" i="16"/>
  <c r="C149" i="16"/>
  <c r="B149" i="16"/>
  <c r="D148" i="16"/>
  <c r="C148" i="16"/>
  <c r="A148" i="16"/>
  <c r="D147" i="16"/>
  <c r="C147" i="16"/>
  <c r="B147" i="16"/>
  <c r="D146" i="16"/>
  <c r="C146" i="16"/>
  <c r="B146" i="16"/>
  <c r="D145" i="16"/>
  <c r="C145" i="16"/>
  <c r="B145" i="16"/>
  <c r="D144" i="16"/>
  <c r="C144" i="16"/>
  <c r="B144" i="16"/>
  <c r="D143" i="16"/>
  <c r="C143" i="16"/>
  <c r="B143" i="16"/>
  <c r="D142" i="16"/>
  <c r="C142" i="16"/>
  <c r="B142" i="16"/>
  <c r="D141" i="16"/>
  <c r="C141" i="16"/>
  <c r="B141" i="16"/>
  <c r="D140" i="16"/>
  <c r="C140" i="16"/>
  <c r="B140" i="16"/>
  <c r="D139" i="16"/>
  <c r="C139" i="16"/>
  <c r="B139" i="16"/>
  <c r="D138" i="16"/>
  <c r="C138" i="16"/>
  <c r="B138" i="16"/>
  <c r="D137" i="16"/>
  <c r="C137" i="16"/>
  <c r="B137" i="16"/>
  <c r="D136" i="16"/>
  <c r="C136" i="16"/>
  <c r="B136" i="16"/>
  <c r="D135" i="16"/>
  <c r="C135" i="16"/>
  <c r="B135" i="16"/>
  <c r="D134" i="16"/>
  <c r="C134" i="16"/>
  <c r="B134" i="16"/>
  <c r="D133" i="16"/>
  <c r="C133" i="16"/>
  <c r="A133" i="16"/>
  <c r="D132" i="16"/>
  <c r="C132" i="16"/>
  <c r="B132" i="16"/>
  <c r="D131" i="16"/>
  <c r="C131" i="16"/>
  <c r="B131" i="16"/>
  <c r="D130" i="16"/>
  <c r="C130" i="16"/>
  <c r="B130" i="16"/>
  <c r="D129" i="16"/>
  <c r="C129" i="16"/>
  <c r="B129" i="16"/>
  <c r="D128" i="16"/>
  <c r="C128" i="16"/>
  <c r="B128" i="16"/>
  <c r="D127" i="16"/>
  <c r="C127" i="16"/>
  <c r="B127" i="16"/>
  <c r="D126" i="16"/>
  <c r="C126" i="16"/>
  <c r="B126" i="16"/>
  <c r="D125" i="16"/>
  <c r="C125" i="16"/>
  <c r="B125" i="16"/>
  <c r="D124" i="16"/>
  <c r="C124" i="16"/>
  <c r="B124" i="16"/>
  <c r="D123" i="16"/>
  <c r="C123" i="16"/>
  <c r="B123" i="16"/>
  <c r="D122" i="16"/>
  <c r="C122" i="16"/>
  <c r="B122" i="16"/>
  <c r="D121" i="16"/>
  <c r="C121" i="16"/>
  <c r="B121" i="16"/>
  <c r="D120" i="16"/>
  <c r="C120" i="16"/>
  <c r="B120" i="16"/>
  <c r="D119" i="16"/>
  <c r="C119" i="16"/>
  <c r="B119" i="16"/>
  <c r="D118" i="16"/>
  <c r="C118" i="16"/>
  <c r="B118" i="16"/>
  <c r="D117" i="16"/>
  <c r="C117" i="16"/>
  <c r="B117" i="16"/>
  <c r="D116" i="16"/>
  <c r="C116" i="16"/>
  <c r="B116" i="16"/>
  <c r="D115" i="16"/>
  <c r="C115" i="16"/>
  <c r="B115" i="16"/>
  <c r="D114" i="16"/>
  <c r="C114" i="16"/>
  <c r="B114" i="16"/>
  <c r="D113" i="16"/>
  <c r="C113" i="16"/>
  <c r="B113" i="16"/>
  <c r="D112" i="16"/>
  <c r="C112" i="16"/>
  <c r="B112" i="16"/>
  <c r="D111" i="16"/>
  <c r="C111" i="16"/>
  <c r="B111" i="16"/>
  <c r="D110" i="16"/>
  <c r="C110" i="16"/>
  <c r="B110" i="16"/>
  <c r="D109" i="16"/>
  <c r="C109" i="16"/>
  <c r="A109" i="16"/>
  <c r="D108" i="16"/>
  <c r="C108" i="16"/>
  <c r="B108" i="16"/>
  <c r="D107" i="16"/>
  <c r="C107" i="16"/>
  <c r="B107" i="16"/>
  <c r="D106" i="16"/>
  <c r="C106" i="16"/>
  <c r="B106" i="16"/>
  <c r="D105" i="16"/>
  <c r="C105" i="16"/>
  <c r="B105" i="16"/>
  <c r="D104" i="16"/>
  <c r="C104" i="16"/>
  <c r="B104" i="16"/>
  <c r="D103" i="16"/>
  <c r="C103" i="16"/>
  <c r="B103" i="16"/>
  <c r="D102" i="16"/>
  <c r="C102" i="16"/>
  <c r="B102" i="16"/>
  <c r="D101" i="16"/>
  <c r="C101" i="16"/>
  <c r="B101" i="16"/>
  <c r="D100" i="16"/>
  <c r="C100" i="16"/>
  <c r="B100" i="16"/>
  <c r="D99" i="16"/>
  <c r="C99" i="16"/>
  <c r="B99" i="16"/>
  <c r="D98" i="16"/>
  <c r="C98" i="16"/>
  <c r="B98" i="16"/>
  <c r="D97" i="16"/>
  <c r="C97" i="16"/>
  <c r="B97" i="16"/>
  <c r="D96" i="16"/>
  <c r="C96" i="16"/>
  <c r="B96" i="16"/>
  <c r="D95" i="16"/>
  <c r="C95" i="16"/>
  <c r="B95" i="16"/>
  <c r="D94" i="16"/>
  <c r="C94" i="16"/>
  <c r="B94" i="16"/>
  <c r="D93" i="16"/>
  <c r="C93" i="16"/>
  <c r="B93" i="16"/>
  <c r="D92" i="16"/>
  <c r="C92" i="16"/>
  <c r="B92" i="16"/>
  <c r="D91" i="16"/>
  <c r="C91" i="16"/>
  <c r="B91" i="16"/>
  <c r="D90" i="16"/>
  <c r="C90" i="16"/>
  <c r="B90" i="16"/>
  <c r="D89" i="16"/>
  <c r="C89" i="16"/>
  <c r="B89" i="16"/>
  <c r="D88" i="16"/>
  <c r="C88" i="16"/>
  <c r="B88" i="16"/>
  <c r="D87" i="16"/>
  <c r="C87" i="16"/>
  <c r="B87" i="16"/>
  <c r="D86" i="16"/>
  <c r="C86" i="16"/>
  <c r="B86" i="16"/>
  <c r="D85" i="16"/>
  <c r="C85" i="16"/>
  <c r="B85" i="16"/>
  <c r="D84" i="16"/>
  <c r="C84" i="16"/>
  <c r="B84" i="16"/>
  <c r="D83" i="16"/>
  <c r="C83" i="16"/>
  <c r="B83" i="16"/>
  <c r="D82" i="16"/>
  <c r="C82" i="16"/>
  <c r="B82" i="16"/>
  <c r="D81" i="16"/>
  <c r="C81" i="16"/>
  <c r="B81" i="16"/>
  <c r="D80" i="16"/>
  <c r="C80" i="16"/>
  <c r="B80" i="16"/>
  <c r="D79" i="16"/>
  <c r="C79" i="16"/>
  <c r="A79" i="16"/>
  <c r="D78" i="16"/>
  <c r="C78" i="16"/>
  <c r="B78" i="16"/>
  <c r="D77" i="16"/>
  <c r="C77" i="16"/>
  <c r="B77" i="16"/>
  <c r="D76" i="16"/>
  <c r="C76" i="16"/>
  <c r="B76" i="16"/>
  <c r="D75" i="16"/>
  <c r="C75" i="16"/>
  <c r="B75" i="16"/>
  <c r="D74" i="16"/>
  <c r="C74" i="16"/>
  <c r="B74" i="16"/>
  <c r="D73" i="16"/>
  <c r="C73" i="16"/>
  <c r="B73" i="16"/>
  <c r="D72" i="16"/>
  <c r="C72" i="16"/>
  <c r="B72" i="16"/>
  <c r="D71" i="16"/>
  <c r="C71" i="16"/>
  <c r="B71" i="16"/>
  <c r="D70" i="16"/>
  <c r="C70" i="16"/>
  <c r="B70" i="16"/>
  <c r="D69" i="16"/>
  <c r="C69" i="16"/>
  <c r="B69" i="16"/>
  <c r="D68" i="16"/>
  <c r="C68" i="16"/>
  <c r="B68" i="16"/>
  <c r="D67" i="16"/>
  <c r="C67" i="16"/>
  <c r="B67" i="16"/>
  <c r="D66" i="16"/>
  <c r="C66" i="16"/>
  <c r="B66" i="16"/>
  <c r="D65" i="16"/>
  <c r="C65" i="16"/>
  <c r="B65" i="16"/>
  <c r="D64" i="16"/>
  <c r="C64" i="16"/>
  <c r="B64" i="16"/>
  <c r="D63" i="16"/>
  <c r="C63" i="16"/>
  <c r="A63" i="16"/>
  <c r="D62" i="16"/>
  <c r="C62" i="16"/>
  <c r="B62" i="16"/>
  <c r="D61" i="16"/>
  <c r="C61" i="16"/>
  <c r="B61" i="16"/>
  <c r="D60" i="16"/>
  <c r="C60" i="16"/>
  <c r="B60" i="16"/>
  <c r="D59" i="16"/>
  <c r="C59" i="16"/>
  <c r="B59" i="16"/>
  <c r="D58" i="16"/>
  <c r="C58" i="16"/>
  <c r="B58" i="16"/>
  <c r="D57" i="16"/>
  <c r="C57" i="16"/>
  <c r="B57" i="16"/>
  <c r="D56" i="16"/>
  <c r="C56" i="16"/>
  <c r="B56" i="16"/>
  <c r="D55" i="16"/>
  <c r="C55" i="16"/>
  <c r="B55" i="16"/>
  <c r="D54" i="16"/>
  <c r="C54" i="16"/>
  <c r="B54" i="16"/>
  <c r="D53" i="16"/>
  <c r="C53" i="16"/>
  <c r="B53" i="16"/>
  <c r="D52" i="16"/>
  <c r="C52" i="16"/>
  <c r="B52" i="16"/>
  <c r="D51" i="16"/>
  <c r="C51" i="16"/>
  <c r="B51" i="16"/>
  <c r="D50" i="16"/>
  <c r="C50" i="16"/>
  <c r="B50" i="16"/>
  <c r="D49" i="16"/>
  <c r="C49" i="16"/>
  <c r="B49" i="16"/>
  <c r="D48" i="16"/>
  <c r="C48" i="16"/>
  <c r="B48" i="16"/>
  <c r="D47" i="16"/>
  <c r="C47" i="16"/>
  <c r="B47" i="16"/>
  <c r="D46" i="16"/>
  <c r="C46" i="16"/>
  <c r="A46" i="16"/>
  <c r="D45" i="16"/>
  <c r="C45" i="16"/>
  <c r="B45" i="16"/>
  <c r="D44" i="16"/>
  <c r="C44" i="16"/>
  <c r="B44" i="16"/>
  <c r="D43" i="16"/>
  <c r="C43" i="16"/>
  <c r="B43" i="16"/>
  <c r="D42" i="16"/>
  <c r="C42" i="16"/>
  <c r="B42" i="16"/>
  <c r="D41" i="16"/>
  <c r="C41" i="16"/>
  <c r="B41" i="16"/>
  <c r="D40" i="16"/>
  <c r="C40" i="16"/>
  <c r="A40" i="16"/>
  <c r="D39" i="16"/>
  <c r="C39" i="16"/>
  <c r="B39" i="16"/>
  <c r="D38" i="16"/>
  <c r="C38" i="16"/>
  <c r="B38" i="16"/>
  <c r="D37" i="16"/>
  <c r="C37" i="16"/>
  <c r="B37" i="16"/>
  <c r="D36" i="16"/>
  <c r="C36" i="16"/>
  <c r="B36" i="16"/>
  <c r="D35" i="16"/>
  <c r="C35" i="16"/>
  <c r="B35" i="16"/>
  <c r="D34" i="16"/>
  <c r="C34" i="16"/>
  <c r="B34" i="16"/>
  <c r="D33" i="16"/>
  <c r="C33" i="16"/>
  <c r="B33" i="16"/>
  <c r="D32" i="16"/>
  <c r="C32" i="16"/>
  <c r="A32" i="16"/>
  <c r="D31" i="16"/>
  <c r="B31" i="16"/>
  <c r="D30" i="16"/>
  <c r="B30" i="16"/>
  <c r="D29" i="16"/>
  <c r="B29" i="16"/>
  <c r="D28" i="16"/>
  <c r="B28" i="16"/>
  <c r="D27" i="16"/>
  <c r="B27" i="16"/>
  <c r="D26" i="16"/>
  <c r="B26" i="16"/>
  <c r="D25" i="16"/>
  <c r="B25" i="16"/>
  <c r="D23" i="16"/>
  <c r="C23" i="16"/>
  <c r="A23" i="16"/>
  <c r="D22" i="16"/>
  <c r="C22" i="16"/>
  <c r="B22" i="16"/>
  <c r="D21" i="16"/>
  <c r="C21" i="16"/>
  <c r="B21" i="16"/>
  <c r="D20" i="16"/>
  <c r="C20" i="16"/>
  <c r="B20" i="16"/>
  <c r="D19" i="16"/>
  <c r="C19" i="16"/>
  <c r="B19" i="16"/>
  <c r="D18" i="16"/>
  <c r="C18" i="16"/>
  <c r="B18" i="16"/>
  <c r="D17" i="16"/>
  <c r="C17" i="16"/>
  <c r="A17" i="16"/>
  <c r="D16" i="16"/>
  <c r="C16" i="16"/>
  <c r="B16" i="16"/>
  <c r="D15" i="16"/>
  <c r="C15" i="16"/>
  <c r="B15" i="16"/>
  <c r="D14" i="16"/>
  <c r="C14" i="16"/>
  <c r="B14" i="16"/>
  <c r="D13" i="16"/>
  <c r="C13" i="16"/>
  <c r="B13" i="16"/>
  <c r="D12" i="16"/>
  <c r="C12" i="16"/>
  <c r="B12" i="16"/>
  <c r="D11" i="16"/>
  <c r="C11" i="16"/>
  <c r="B11" i="16"/>
  <c r="D10" i="16"/>
  <c r="C10" i="16"/>
  <c r="B10" i="16"/>
  <c r="D9" i="16"/>
  <c r="C9" i="16"/>
  <c r="B9" i="16"/>
  <c r="D8" i="16"/>
  <c r="C8" i="16"/>
  <c r="B8" i="16"/>
  <c r="D7" i="16"/>
  <c r="C7" i="16"/>
  <c r="A7" i="16"/>
  <c r="B259" i="25"/>
  <c r="B258" i="25"/>
  <c r="B257" i="25"/>
  <c r="B256" i="25"/>
  <c r="B255" i="25"/>
  <c r="B254" i="25"/>
  <c r="B253" i="25"/>
  <c r="B252" i="25"/>
  <c r="B251" i="25"/>
  <c r="B250" i="25"/>
  <c r="B249" i="25"/>
  <c r="B248" i="25"/>
  <c r="A247" i="25"/>
  <c r="B246" i="25"/>
  <c r="B245" i="25"/>
  <c r="B244" i="25"/>
  <c r="B243" i="25"/>
  <c r="B242" i="25"/>
  <c r="B241" i="25"/>
  <c r="B240" i="25"/>
  <c r="B239" i="25"/>
  <c r="B238" i="25"/>
  <c r="B237" i="25"/>
  <c r="B236" i="25"/>
  <c r="B235" i="25"/>
  <c r="B234" i="25"/>
  <c r="B233" i="25"/>
  <c r="B232" i="25"/>
  <c r="B231" i="25"/>
  <c r="B230" i="25"/>
  <c r="B229" i="25"/>
  <c r="B228" i="25"/>
  <c r="B227" i="25"/>
  <c r="B226" i="25"/>
  <c r="B225" i="25"/>
  <c r="B224" i="25"/>
  <c r="B223" i="25"/>
  <c r="B222" i="25"/>
  <c r="B221" i="25"/>
  <c r="B220" i="25"/>
  <c r="B219" i="25"/>
  <c r="B218" i="25"/>
  <c r="A217" i="25"/>
  <c r="B216" i="25"/>
  <c r="B215" i="25"/>
  <c r="B214" i="25"/>
  <c r="B213" i="25"/>
  <c r="A212" i="25"/>
  <c r="B211" i="25"/>
  <c r="B210" i="25"/>
  <c r="B209" i="25"/>
  <c r="B208" i="25"/>
  <c r="A207" i="25"/>
  <c r="B206" i="25"/>
  <c r="B205" i="25"/>
  <c r="B204" i="25"/>
  <c r="B203" i="25"/>
  <c r="B202" i="25"/>
  <c r="B201" i="25"/>
  <c r="B200" i="25"/>
  <c r="A199" i="25"/>
  <c r="B198" i="25"/>
  <c r="B197" i="25"/>
  <c r="B196" i="25"/>
  <c r="B195" i="25"/>
  <c r="B194" i="25"/>
  <c r="B193" i="25"/>
  <c r="A192" i="25"/>
  <c r="B191" i="25"/>
  <c r="B190" i="25"/>
  <c r="A189" i="25"/>
  <c r="B188" i="25"/>
  <c r="B187" i="25"/>
  <c r="B186" i="25"/>
  <c r="B185" i="25"/>
  <c r="B184" i="25"/>
  <c r="B183" i="25"/>
  <c r="B182" i="25"/>
  <c r="B181" i="25"/>
  <c r="B180" i="25"/>
  <c r="B179" i="25"/>
  <c r="B178" i="25"/>
  <c r="B177" i="25"/>
  <c r="B176" i="25"/>
  <c r="B175" i="25"/>
  <c r="B174" i="25"/>
  <c r="A173" i="25"/>
  <c r="B172" i="25"/>
  <c r="B171" i="25"/>
  <c r="A170" i="25"/>
  <c r="B169" i="25"/>
  <c r="B168" i="25"/>
  <c r="B167" i="25"/>
  <c r="B166" i="25"/>
  <c r="B165" i="25"/>
  <c r="A164" i="25"/>
  <c r="B163" i="25"/>
  <c r="B162" i="25"/>
  <c r="B161" i="25"/>
  <c r="A160" i="25"/>
  <c r="B159" i="25"/>
  <c r="B158" i="25"/>
  <c r="B157" i="25"/>
  <c r="B156" i="25"/>
  <c r="B155" i="25"/>
  <c r="B154" i="25"/>
  <c r="B153" i="25"/>
  <c r="B152" i="25"/>
  <c r="B151" i="25"/>
  <c r="A150" i="25"/>
  <c r="B149" i="25"/>
  <c r="B148" i="25"/>
  <c r="B147" i="25"/>
  <c r="B146" i="25"/>
  <c r="A145" i="25"/>
  <c r="B144" i="25"/>
  <c r="B143" i="25"/>
  <c r="A142" i="25"/>
  <c r="B141" i="25"/>
  <c r="B140" i="25"/>
  <c r="B139" i="25"/>
  <c r="B138" i="25"/>
  <c r="B137" i="25"/>
  <c r="B136" i="25"/>
  <c r="A135" i="25"/>
  <c r="B134" i="25"/>
  <c r="B133" i="25"/>
  <c r="B132" i="25"/>
  <c r="B131" i="25"/>
  <c r="A130" i="25"/>
  <c r="B129" i="25"/>
  <c r="B128" i="25"/>
  <c r="B127" i="25"/>
  <c r="B126" i="25"/>
  <c r="A125" i="25"/>
  <c r="I120" i="25"/>
  <c r="G120" i="25"/>
  <c r="C120" i="25"/>
  <c r="B120" i="25"/>
  <c r="I119" i="25"/>
  <c r="G119" i="25"/>
  <c r="C119" i="25"/>
  <c r="B119" i="25"/>
  <c r="I118" i="25"/>
  <c r="G118" i="25"/>
  <c r="C118" i="25"/>
  <c r="B118" i="25"/>
  <c r="I117" i="25"/>
  <c r="G117" i="25"/>
  <c r="C117" i="25"/>
  <c r="B117" i="25"/>
  <c r="I116" i="25"/>
  <c r="G116" i="25"/>
  <c r="C116" i="25"/>
  <c r="B116" i="25"/>
  <c r="I115" i="25"/>
  <c r="G115" i="25"/>
  <c r="C115" i="25"/>
  <c r="B115" i="25"/>
  <c r="I114" i="25"/>
  <c r="G114" i="25"/>
  <c r="C114" i="25"/>
  <c r="B114" i="25"/>
  <c r="I113" i="25"/>
  <c r="G113" i="25"/>
  <c r="C113" i="25"/>
  <c r="B113" i="25"/>
  <c r="A112" i="25"/>
  <c r="I111" i="25"/>
  <c r="G111" i="25"/>
  <c r="E111" i="25"/>
  <c r="D111" i="25"/>
  <c r="C111" i="25"/>
  <c r="B111" i="25"/>
  <c r="I110" i="25"/>
  <c r="G110" i="25"/>
  <c r="E110" i="25"/>
  <c r="D110" i="25"/>
  <c r="C110" i="25"/>
  <c r="B110" i="25"/>
  <c r="I109" i="25"/>
  <c r="G109" i="25"/>
  <c r="E109" i="25"/>
  <c r="D109" i="25"/>
  <c r="C109" i="25"/>
  <c r="B109" i="25"/>
  <c r="I108" i="25"/>
  <c r="G108" i="25"/>
  <c r="E108" i="25"/>
  <c r="D108" i="25"/>
  <c r="C108" i="25"/>
  <c r="B108" i="25"/>
  <c r="I107" i="25"/>
  <c r="G107" i="25"/>
  <c r="E107" i="25"/>
  <c r="D107" i="25"/>
  <c r="C107" i="25"/>
  <c r="B107" i="25"/>
  <c r="I106" i="25"/>
  <c r="G106" i="25"/>
  <c r="E106" i="25"/>
  <c r="D106" i="25"/>
  <c r="C106" i="25"/>
  <c r="B106" i="25"/>
  <c r="I105" i="25"/>
  <c r="G105" i="25"/>
  <c r="E105" i="25"/>
  <c r="D105" i="25"/>
  <c r="C105" i="25"/>
  <c r="B105" i="25"/>
  <c r="I104" i="25"/>
  <c r="G104" i="25"/>
  <c r="E104" i="25"/>
  <c r="D104" i="25"/>
  <c r="C104" i="25"/>
  <c r="B104" i="25"/>
  <c r="I103" i="25"/>
  <c r="G103" i="25"/>
  <c r="E103" i="25"/>
  <c r="D103" i="25"/>
  <c r="C103" i="25"/>
  <c r="B103" i="25"/>
  <c r="I102" i="25"/>
  <c r="G102" i="25"/>
  <c r="E102" i="25"/>
  <c r="D102" i="25"/>
  <c r="C102" i="25"/>
  <c r="B102" i="25"/>
  <c r="I101" i="25"/>
  <c r="G101" i="25"/>
  <c r="E101" i="25"/>
  <c r="D101" i="25"/>
  <c r="C101" i="25"/>
  <c r="B101" i="25"/>
  <c r="I100" i="25"/>
  <c r="G100" i="25"/>
  <c r="E100" i="25"/>
  <c r="D100" i="25"/>
  <c r="C100" i="25"/>
  <c r="B100" i="25"/>
  <c r="I99" i="25"/>
  <c r="G99" i="25"/>
  <c r="E99" i="25"/>
  <c r="D99" i="25"/>
  <c r="C99" i="25"/>
  <c r="B99" i="25"/>
  <c r="I98" i="25"/>
  <c r="G98" i="25"/>
  <c r="E98" i="25"/>
  <c r="D98" i="25"/>
  <c r="C98" i="25"/>
  <c r="B98" i="25"/>
  <c r="I97" i="25"/>
  <c r="G97" i="25"/>
  <c r="E97" i="25"/>
  <c r="D97" i="25"/>
  <c r="C97" i="25"/>
  <c r="B97" i="25"/>
  <c r="A96" i="25"/>
  <c r="I95" i="25"/>
  <c r="G95" i="25"/>
  <c r="E95" i="25"/>
  <c r="D95" i="25"/>
  <c r="C95" i="25"/>
  <c r="B95" i="25"/>
  <c r="I94" i="25"/>
  <c r="G94" i="25"/>
  <c r="E94" i="25"/>
  <c r="D94" i="25"/>
  <c r="C94" i="25"/>
  <c r="B94" i="25"/>
  <c r="I93" i="25"/>
  <c r="G93" i="25"/>
  <c r="E93" i="25"/>
  <c r="D93" i="25"/>
  <c r="C93" i="25"/>
  <c r="B93" i="25"/>
  <c r="I92" i="25"/>
  <c r="G92" i="25"/>
  <c r="E92" i="25"/>
  <c r="D92" i="25"/>
  <c r="C92" i="25"/>
  <c r="B92" i="25"/>
  <c r="I91" i="25"/>
  <c r="G91" i="25"/>
  <c r="E91" i="25"/>
  <c r="D91" i="25"/>
  <c r="C91" i="25"/>
  <c r="B91" i="25"/>
  <c r="A90" i="25"/>
  <c r="I89" i="25"/>
  <c r="G89" i="25"/>
  <c r="E89" i="25"/>
  <c r="D89" i="25"/>
  <c r="C89" i="25"/>
  <c r="B89" i="25"/>
  <c r="I88" i="25"/>
  <c r="G88" i="25"/>
  <c r="E88" i="25"/>
  <c r="D88" i="25"/>
  <c r="C88" i="25"/>
  <c r="B88" i="25"/>
  <c r="I87" i="25"/>
  <c r="G87" i="25"/>
  <c r="E87" i="25"/>
  <c r="D87" i="25"/>
  <c r="C87" i="25"/>
  <c r="B87" i="25"/>
  <c r="I86" i="25"/>
  <c r="G86" i="25"/>
  <c r="E86" i="25"/>
  <c r="D86" i="25"/>
  <c r="C86" i="25"/>
  <c r="B86" i="25"/>
  <c r="I85" i="25"/>
  <c r="G85" i="25"/>
  <c r="E85" i="25"/>
  <c r="D85" i="25"/>
  <c r="C85" i="25"/>
  <c r="B85" i="25"/>
  <c r="I84" i="25"/>
  <c r="G84" i="25"/>
  <c r="E84" i="25"/>
  <c r="D84" i="25"/>
  <c r="C84" i="25"/>
  <c r="B84" i="25"/>
  <c r="I83" i="25"/>
  <c r="G83" i="25"/>
  <c r="E83" i="25"/>
  <c r="D83" i="25"/>
  <c r="C83" i="25"/>
  <c r="B83" i="25"/>
  <c r="I82" i="25"/>
  <c r="G82" i="25"/>
  <c r="E82" i="25"/>
  <c r="D82" i="25"/>
  <c r="C82" i="25"/>
  <c r="B82" i="25"/>
  <c r="I81" i="25"/>
  <c r="G81" i="25"/>
  <c r="E81" i="25"/>
  <c r="D81" i="25"/>
  <c r="C81" i="25"/>
  <c r="B81" i="25"/>
  <c r="I80" i="25"/>
  <c r="G80" i="25"/>
  <c r="E80" i="25"/>
  <c r="D80" i="25"/>
  <c r="C80" i="25"/>
  <c r="B80" i="25"/>
  <c r="I79" i="25"/>
  <c r="G79" i="25"/>
  <c r="E79" i="25"/>
  <c r="D79" i="25"/>
  <c r="C79" i="25"/>
  <c r="B79" i="25"/>
  <c r="I78" i="25"/>
  <c r="G78" i="25"/>
  <c r="E78" i="25"/>
  <c r="D78" i="25"/>
  <c r="C78" i="25"/>
  <c r="B78" i="25"/>
  <c r="I77" i="25"/>
  <c r="G77" i="25"/>
  <c r="E77" i="25"/>
  <c r="D77" i="25"/>
  <c r="C77" i="25"/>
  <c r="B77" i="25"/>
  <c r="A76" i="25"/>
  <c r="I75" i="25"/>
  <c r="G75" i="25"/>
  <c r="E75" i="25"/>
  <c r="D75" i="25"/>
  <c r="C75" i="25"/>
  <c r="B75" i="25"/>
  <c r="I74" i="25"/>
  <c r="G74" i="25"/>
  <c r="E74" i="25"/>
  <c r="D74" i="25"/>
  <c r="C74" i="25"/>
  <c r="B74" i="25"/>
  <c r="I73" i="25"/>
  <c r="G73" i="25"/>
  <c r="E73" i="25"/>
  <c r="D73" i="25"/>
  <c r="C73" i="25"/>
  <c r="B73" i="25"/>
  <c r="I72" i="25"/>
  <c r="G72" i="25"/>
  <c r="E72" i="25"/>
  <c r="D72" i="25"/>
  <c r="C72" i="25"/>
  <c r="B72" i="25"/>
  <c r="I71" i="25"/>
  <c r="G71" i="25"/>
  <c r="E71" i="25"/>
  <c r="D71" i="25"/>
  <c r="C71" i="25"/>
  <c r="B71" i="25"/>
  <c r="I70" i="25"/>
  <c r="G70" i="25"/>
  <c r="E70" i="25"/>
  <c r="D70" i="25"/>
  <c r="C70" i="25"/>
  <c r="B70" i="25"/>
  <c r="I69" i="25"/>
  <c r="G69" i="25"/>
  <c r="E69" i="25"/>
  <c r="D69" i="25"/>
  <c r="C69" i="25"/>
  <c r="B69" i="25"/>
  <c r="I68" i="25"/>
  <c r="G68" i="25"/>
  <c r="E68" i="25"/>
  <c r="D68" i="25"/>
  <c r="C68" i="25"/>
  <c r="B68" i="25"/>
  <c r="A67" i="25"/>
  <c r="I66" i="25"/>
  <c r="G66" i="25"/>
  <c r="E66" i="25"/>
  <c r="D66" i="25"/>
  <c r="C66" i="25"/>
  <c r="B66" i="25"/>
  <c r="I65" i="25"/>
  <c r="G65" i="25"/>
  <c r="E65" i="25"/>
  <c r="D65" i="25"/>
  <c r="C65" i="25"/>
  <c r="B65" i="25"/>
  <c r="A64" i="25"/>
  <c r="I63" i="25"/>
  <c r="G63" i="25"/>
  <c r="E63" i="25"/>
  <c r="D63" i="25"/>
  <c r="C63" i="25"/>
  <c r="B63" i="25"/>
  <c r="I62" i="25"/>
  <c r="G62" i="25"/>
  <c r="E62" i="25"/>
  <c r="D62" i="25"/>
  <c r="C62" i="25"/>
  <c r="B62" i="25"/>
  <c r="A61" i="25"/>
  <c r="I60" i="25"/>
  <c r="G60" i="25"/>
  <c r="E60" i="25"/>
  <c r="D60" i="25"/>
  <c r="C60" i="25"/>
  <c r="B60" i="25"/>
  <c r="I59" i="25"/>
  <c r="G59" i="25"/>
  <c r="E59" i="25"/>
  <c r="D59" i="25"/>
  <c r="C59" i="25"/>
  <c r="B59" i="25"/>
  <c r="I58" i="25"/>
  <c r="G58" i="25"/>
  <c r="E58" i="25"/>
  <c r="D58" i="25"/>
  <c r="C58" i="25"/>
  <c r="B58" i="25"/>
  <c r="A57" i="25"/>
  <c r="I56" i="25"/>
  <c r="G56" i="25"/>
  <c r="E56" i="25"/>
  <c r="D56" i="25"/>
  <c r="C56" i="25"/>
  <c r="B56" i="25"/>
  <c r="I55" i="25"/>
  <c r="G55" i="25"/>
  <c r="E55" i="25"/>
  <c r="D55" i="25"/>
  <c r="C55" i="25"/>
  <c r="B55" i="25"/>
  <c r="I54" i="25"/>
  <c r="G54" i="25"/>
  <c r="C54" i="25"/>
  <c r="B54" i="25"/>
  <c r="I53" i="25"/>
  <c r="G53" i="25"/>
  <c r="E53" i="25"/>
  <c r="D53" i="25"/>
  <c r="C53" i="25"/>
  <c r="B53" i="25"/>
  <c r="A52" i="25"/>
  <c r="I51" i="25"/>
  <c r="G51" i="25"/>
  <c r="C51" i="25"/>
  <c r="B51" i="25"/>
  <c r="I50" i="25"/>
  <c r="G50" i="25"/>
  <c r="E50" i="25"/>
  <c r="D50" i="25"/>
  <c r="C50" i="25"/>
  <c r="B50" i="25"/>
  <c r="I49" i="25"/>
  <c r="G49" i="25"/>
  <c r="E49" i="25"/>
  <c r="D49" i="25"/>
  <c r="C49" i="25"/>
  <c r="B49" i="25"/>
  <c r="I48" i="25"/>
  <c r="G48" i="25"/>
  <c r="E48" i="25"/>
  <c r="D48" i="25"/>
  <c r="C48" i="25"/>
  <c r="B48" i="25"/>
  <c r="I47" i="25"/>
  <c r="G47" i="25"/>
  <c r="E47" i="25"/>
  <c r="D47" i="25"/>
  <c r="C47" i="25"/>
  <c r="B47" i="25"/>
  <c r="A46" i="25"/>
  <c r="A43" i="25"/>
  <c r="A42" i="25"/>
  <c r="A41" i="25"/>
  <c r="A40" i="25"/>
  <c r="A39" i="25"/>
  <c r="A38" i="25"/>
  <c r="B30" i="25"/>
  <c r="G30" i="25" s="1"/>
  <c r="B29" i="25"/>
  <c r="G29" i="25" s="1"/>
  <c r="B28" i="25"/>
  <c r="G28" i="25" s="1"/>
  <c r="B27" i="25"/>
  <c r="G27" i="25" s="1"/>
  <c r="B26" i="25"/>
  <c r="G26" i="25" s="1"/>
  <c r="B25" i="25"/>
  <c r="G25" i="25" s="1"/>
  <c r="B24" i="25"/>
  <c r="G24" i="25" s="1"/>
  <c r="B23" i="25"/>
  <c r="G23" i="25" s="1"/>
  <c r="B22" i="25"/>
  <c r="G22" i="25" s="1"/>
  <c r="E21" i="25"/>
  <c r="D21" i="25"/>
  <c r="B21" i="25"/>
  <c r="G21" i="25" s="1"/>
  <c r="C17" i="25"/>
  <c r="A16" i="25"/>
  <c r="C16" i="25" s="1"/>
  <c r="A15" i="25"/>
  <c r="C15" i="25" s="1"/>
  <c r="A14" i="25"/>
  <c r="C14" i="25" s="1"/>
  <c r="A13" i="25"/>
  <c r="C13" i="25" s="1"/>
  <c r="A12" i="25"/>
  <c r="C12" i="25" s="1"/>
  <c r="A11" i="25"/>
  <c r="C11" i="25" s="1"/>
  <c r="A10" i="25"/>
  <c r="A9" i="25"/>
  <c r="A8" i="25"/>
  <c r="A7" i="25"/>
  <c r="A6" i="25"/>
  <c r="A5" i="25"/>
  <c r="I2" i="25"/>
  <c r="C15" i="21"/>
  <c r="A7" i="21"/>
  <c r="A6" i="21"/>
  <c r="A5" i="21"/>
  <c r="K2" i="21"/>
  <c r="A345" i="22"/>
  <c r="A344" i="22"/>
  <c r="A343" i="22"/>
  <c r="A342" i="22"/>
  <c r="A341" i="22"/>
  <c r="A340" i="22"/>
  <c r="A339" i="22" s="1"/>
  <c r="A338" i="22"/>
  <c r="A337" i="22"/>
  <c r="A336" i="22"/>
  <c r="A335" i="22"/>
  <c r="A334" i="22"/>
  <c r="A333" i="22"/>
  <c r="A332" i="22"/>
  <c r="A331" i="22"/>
  <c r="A329" i="22"/>
  <c r="A328" i="22"/>
  <c r="A327" i="22"/>
  <c r="A326" i="22"/>
  <c r="A325" i="22"/>
  <c r="A323" i="22"/>
  <c r="A322" i="22"/>
  <c r="A321" i="22"/>
  <c r="A320" i="22"/>
  <c r="A319" i="22"/>
  <c r="A317" i="22"/>
  <c r="G317" i="22" s="1"/>
  <c r="A316" i="22"/>
  <c r="A315" i="22"/>
  <c r="A314" i="22"/>
  <c r="A313" i="22"/>
  <c r="A311" i="22"/>
  <c r="A310" i="22"/>
  <c r="A308" i="22"/>
  <c r="A307" i="22"/>
  <c r="A306" i="22"/>
  <c r="A305" i="22"/>
  <c r="A304" i="22"/>
  <c r="A303" i="22"/>
  <c r="A302" i="22"/>
  <c r="A301" i="22"/>
  <c r="A300" i="22"/>
  <c r="A299" i="22"/>
  <c r="A297" i="22"/>
  <c r="A296" i="22"/>
  <c r="A295" i="22"/>
  <c r="A294" i="22"/>
  <c r="A293" i="22"/>
  <c r="A292" i="22"/>
  <c r="A291" i="22"/>
  <c r="A290" i="22"/>
  <c r="A289" i="22"/>
  <c r="A288" i="22"/>
  <c r="A287" i="22"/>
  <c r="A286" i="22"/>
  <c r="A284" i="22"/>
  <c r="A283" i="22"/>
  <c r="A282" i="22"/>
  <c r="A281" i="22"/>
  <c r="A280" i="22"/>
  <c r="A279" i="22"/>
  <c r="A278" i="22"/>
  <c r="A277" i="22"/>
  <c r="A276" i="22"/>
  <c r="A275" i="22"/>
  <c r="A274" i="22"/>
  <c r="A273" i="22"/>
  <c r="A272" i="22"/>
  <c r="A271" i="22"/>
  <c r="A270" i="22"/>
  <c r="A269" i="22"/>
  <c r="A268" i="22"/>
  <c r="A267" i="22"/>
  <c r="A266" i="22"/>
  <c r="A265" i="22"/>
  <c r="A264" i="22"/>
  <c r="A263" i="22"/>
  <c r="A262" i="22"/>
  <c r="A261" i="22"/>
  <c r="A260" i="22"/>
  <c r="A259" i="22"/>
  <c r="A258" i="22"/>
  <c r="A257" i="22"/>
  <c r="A256" i="22"/>
  <c r="A254" i="22"/>
  <c r="A253" i="22"/>
  <c r="A252" i="22"/>
  <c r="A251" i="22"/>
  <c r="A250" i="22"/>
  <c r="A249" i="22"/>
  <c r="A248" i="22"/>
  <c r="A247" i="22"/>
  <c r="A246" i="22"/>
  <c r="A244" i="22"/>
  <c r="A243" i="22"/>
  <c r="A242" i="22"/>
  <c r="A241" i="22"/>
  <c r="A240" i="22"/>
  <c r="A239" i="22"/>
  <c r="A238" i="22"/>
  <c r="A237" i="22"/>
  <c r="A236" i="22"/>
  <c r="A235" i="22"/>
  <c r="A234" i="22"/>
  <c r="A233" i="22"/>
  <c r="A232" i="22"/>
  <c r="A231" i="22"/>
  <c r="A230" i="22"/>
  <c r="A229" i="22"/>
  <c r="A228" i="22"/>
  <c r="A227" i="22"/>
  <c r="A225" i="22"/>
  <c r="A224" i="22"/>
  <c r="A223" i="22"/>
  <c r="A222" i="22"/>
  <c r="A221" i="22"/>
  <c r="A220" i="22"/>
  <c r="A218" i="22"/>
  <c r="A217" i="22"/>
  <c r="A216" i="22"/>
  <c r="A215" i="22"/>
  <c r="A213" i="22"/>
  <c r="A212" i="22"/>
  <c r="A211" i="22"/>
  <c r="A210" i="22"/>
  <c r="A209" i="22"/>
  <c r="A208" i="22"/>
  <c r="A207" i="22"/>
  <c r="A206" i="22"/>
  <c r="A205" i="22"/>
  <c r="A204" i="22"/>
  <c r="A203" i="22"/>
  <c r="A201" i="22"/>
  <c r="A200" i="22"/>
  <c r="A199" i="22"/>
  <c r="A198" i="22"/>
  <c r="A197" i="22"/>
  <c r="A196" i="22"/>
  <c r="A195" i="22"/>
  <c r="A194" i="22"/>
  <c r="A193" i="22"/>
  <c r="A192" i="22"/>
  <c r="A191" i="22"/>
  <c r="A190" i="22"/>
  <c r="A189" i="22"/>
  <c r="A188" i="22"/>
  <c r="A187" i="22"/>
  <c r="A186" i="22"/>
  <c r="A184" i="22"/>
  <c r="A183" i="22"/>
  <c r="A182" i="22"/>
  <c r="A181" i="22"/>
  <c r="A180" i="22"/>
  <c r="A179" i="22"/>
  <c r="A178" i="22"/>
  <c r="A177" i="22"/>
  <c r="A176" i="22"/>
  <c r="A175" i="22"/>
  <c r="A174" i="22"/>
  <c r="A173" i="22"/>
  <c r="A172" i="22"/>
  <c r="A171" i="22"/>
  <c r="A169" i="22"/>
  <c r="A168" i="22"/>
  <c r="A167" i="22"/>
  <c r="A166" i="22"/>
  <c r="A165" i="22"/>
  <c r="A164" i="22"/>
  <c r="A163" i="22"/>
  <c r="A162" i="22"/>
  <c r="A161" i="22"/>
  <c r="A160" i="22"/>
  <c r="A159" i="22"/>
  <c r="A158" i="22"/>
  <c r="A157" i="22"/>
  <c r="A156" i="22"/>
  <c r="A155" i="22"/>
  <c r="A154" i="22"/>
  <c r="A153" i="22"/>
  <c r="A152" i="22"/>
  <c r="A151" i="22"/>
  <c r="I151" i="22" s="1"/>
  <c r="A150" i="22"/>
  <c r="A149" i="22"/>
  <c r="A148" i="22"/>
  <c r="A147" i="22"/>
  <c r="A145" i="22"/>
  <c r="A144" i="22"/>
  <c r="A143" i="22"/>
  <c r="A142" i="22"/>
  <c r="A141" i="22"/>
  <c r="A140" i="22"/>
  <c r="A139" i="22"/>
  <c r="A138" i="22"/>
  <c r="A137" i="22"/>
  <c r="A136" i="22"/>
  <c r="A135" i="22"/>
  <c r="A134" i="22"/>
  <c r="A133" i="22"/>
  <c r="A132" i="22"/>
  <c r="A131" i="22"/>
  <c r="A130" i="22"/>
  <c r="A129" i="22"/>
  <c r="A128" i="22"/>
  <c r="A127" i="22"/>
  <c r="A126" i="22"/>
  <c r="A125" i="22"/>
  <c r="A124" i="22"/>
  <c r="A123" i="22"/>
  <c r="A122" i="22"/>
  <c r="A121" i="22"/>
  <c r="A120" i="22"/>
  <c r="A119" i="22"/>
  <c r="A118" i="22"/>
  <c r="A117" i="22"/>
  <c r="I116" i="22"/>
  <c r="G116" i="22"/>
  <c r="A116" i="22"/>
  <c r="A115" i="22"/>
  <c r="A114" i="22"/>
  <c r="A113" i="22"/>
  <c r="A112" i="22"/>
  <c r="A111" i="22"/>
  <c r="A110" i="22"/>
  <c r="A109" i="22"/>
  <c r="A108" i="22"/>
  <c r="A107" i="22"/>
  <c r="A106" i="22"/>
  <c r="A105" i="22"/>
  <c r="A104" i="22"/>
  <c r="A103" i="22"/>
  <c r="A102" i="22"/>
  <c r="A101" i="22"/>
  <c r="A100" i="22"/>
  <c r="A99" i="22"/>
  <c r="A98" i="22"/>
  <c r="A97" i="22"/>
  <c r="A96" i="22"/>
  <c r="A95" i="22"/>
  <c r="A94" i="22"/>
  <c r="A93" i="22"/>
  <c r="A92" i="22"/>
  <c r="A91" i="22"/>
  <c r="A90" i="22"/>
  <c r="A89" i="22"/>
  <c r="A88" i="22"/>
  <c r="A87" i="22"/>
  <c r="A86" i="22"/>
  <c r="A85" i="22"/>
  <c r="A84" i="22"/>
  <c r="A83" i="22"/>
  <c r="A82" i="22"/>
  <c r="A81" i="22"/>
  <c r="A80" i="22"/>
  <c r="A79" i="22"/>
  <c r="A78" i="22"/>
  <c r="A77" i="22"/>
  <c r="A76" i="22"/>
  <c r="A75" i="22"/>
  <c r="A74" i="22"/>
  <c r="A73" i="22"/>
  <c r="A72" i="22"/>
  <c r="A71" i="22"/>
  <c r="A70" i="22"/>
  <c r="A69" i="22"/>
  <c r="A68" i="22"/>
  <c r="A67" i="22"/>
  <c r="A66" i="22"/>
  <c r="A65" i="22"/>
  <c r="A64" i="22"/>
  <c r="A63" i="22"/>
  <c r="A62" i="22"/>
  <c r="A61" i="22"/>
  <c r="A60" i="22"/>
  <c r="A59" i="22"/>
  <c r="A58" i="22"/>
  <c r="A57" i="22"/>
  <c r="A56" i="22"/>
  <c r="A55" i="22"/>
  <c r="A52" i="22"/>
  <c r="A51" i="22"/>
  <c r="A50" i="22"/>
  <c r="A49" i="22"/>
  <c r="A48" i="22"/>
  <c r="A47" i="22"/>
  <c r="G39" i="22"/>
  <c r="G38" i="22"/>
  <c r="B37" i="22"/>
  <c r="G37" i="22" s="1"/>
  <c r="B36" i="22"/>
  <c r="G36" i="22" s="1"/>
  <c r="B35" i="22"/>
  <c r="G35" i="22" s="1"/>
  <c r="B34" i="22"/>
  <c r="G34" i="22" s="1"/>
  <c r="B33" i="22"/>
  <c r="G33" i="22" s="1"/>
  <c r="B32" i="22"/>
  <c r="G32" i="22" s="1"/>
  <c r="B31" i="22"/>
  <c r="G31" i="22" s="1"/>
  <c r="B30" i="22"/>
  <c r="G30" i="22" s="1"/>
  <c r="B29" i="22"/>
  <c r="G29" i="22" s="1"/>
  <c r="B28" i="22"/>
  <c r="G28" i="22" s="1"/>
  <c r="B27" i="22"/>
  <c r="G27" i="22" s="1"/>
  <c r="B26" i="22"/>
  <c r="G26" i="22" s="1"/>
  <c r="B25" i="22"/>
  <c r="G25" i="22" s="1"/>
  <c r="B24" i="22"/>
  <c r="G24" i="22" s="1"/>
  <c r="B23" i="22"/>
  <c r="G23" i="22" s="1"/>
  <c r="B22" i="22"/>
  <c r="G22" i="22" s="1"/>
  <c r="B21" i="22"/>
  <c r="G21" i="22" s="1"/>
  <c r="C17" i="22"/>
  <c r="A10" i="22"/>
  <c r="A9" i="22"/>
  <c r="A8" i="22"/>
  <c r="A7" i="22"/>
  <c r="A6" i="22"/>
  <c r="A5" i="22"/>
  <c r="I2" i="22"/>
  <c r="A107" i="14"/>
  <c r="A106" i="14"/>
  <c r="A105" i="14"/>
  <c r="A104" i="14"/>
  <c r="A103" i="14"/>
  <c r="A102" i="14"/>
  <c r="A101" i="14"/>
  <c r="B97" i="14"/>
  <c r="B96" i="14"/>
  <c r="B95" i="14"/>
  <c r="B94" i="14"/>
  <c r="B93" i="14"/>
  <c r="B92" i="14"/>
  <c r="B91" i="14"/>
  <c r="B90" i="14"/>
  <c r="A89" i="14"/>
  <c r="E88" i="14"/>
  <c r="B88" i="14"/>
  <c r="E87" i="14"/>
  <c r="B87" i="14"/>
  <c r="E86" i="14"/>
  <c r="B86" i="14"/>
  <c r="E85" i="14"/>
  <c r="B85" i="14"/>
  <c r="E84" i="14"/>
  <c r="B84" i="14"/>
  <c r="E83" i="14"/>
  <c r="B83" i="14"/>
  <c r="E82" i="14"/>
  <c r="B82" i="14"/>
  <c r="E81" i="14"/>
  <c r="B81" i="14"/>
  <c r="E80" i="14"/>
  <c r="B80" i="14"/>
  <c r="E79" i="14"/>
  <c r="B79" i="14"/>
  <c r="E78" i="14"/>
  <c r="B78" i="14"/>
  <c r="E77" i="14"/>
  <c r="B77" i="14"/>
  <c r="E76" i="14"/>
  <c r="B76" i="14"/>
  <c r="E75" i="14"/>
  <c r="B75" i="14"/>
  <c r="E74" i="14"/>
  <c r="B74" i="14"/>
  <c r="A73" i="14"/>
  <c r="E72" i="14"/>
  <c r="B72" i="14"/>
  <c r="E71" i="14"/>
  <c r="B71" i="14"/>
  <c r="E70" i="14"/>
  <c r="B70" i="14"/>
  <c r="E69" i="14"/>
  <c r="B69" i="14"/>
  <c r="E68" i="14"/>
  <c r="B68" i="14"/>
  <c r="A67" i="14"/>
  <c r="E66" i="14"/>
  <c r="B66" i="14"/>
  <c r="E65" i="14"/>
  <c r="B65" i="14"/>
  <c r="E64" i="14"/>
  <c r="B64" i="14"/>
  <c r="E63" i="14"/>
  <c r="B63" i="14"/>
  <c r="E62" i="14"/>
  <c r="B62" i="14"/>
  <c r="E61" i="14"/>
  <c r="B61" i="14"/>
  <c r="E60" i="14"/>
  <c r="B60" i="14"/>
  <c r="E59" i="14"/>
  <c r="B59" i="14"/>
  <c r="E58" i="14"/>
  <c r="B58" i="14"/>
  <c r="E57" i="14"/>
  <c r="B57" i="14"/>
  <c r="E56" i="14"/>
  <c r="B56" i="14"/>
  <c r="E55" i="14"/>
  <c r="B55" i="14"/>
  <c r="E54" i="14"/>
  <c r="B54" i="14"/>
  <c r="A53" i="14"/>
  <c r="E52" i="14"/>
  <c r="B52" i="14"/>
  <c r="E51" i="14"/>
  <c r="B51" i="14"/>
  <c r="E50" i="14"/>
  <c r="B50" i="14"/>
  <c r="E49" i="14"/>
  <c r="B49" i="14"/>
  <c r="E48" i="14"/>
  <c r="B48" i="14"/>
  <c r="E47" i="14"/>
  <c r="B47" i="14"/>
  <c r="E46" i="14"/>
  <c r="B46" i="14"/>
  <c r="E45" i="14"/>
  <c r="B45" i="14"/>
  <c r="A44" i="14"/>
  <c r="E43" i="14"/>
  <c r="B43" i="14"/>
  <c r="E42" i="14"/>
  <c r="B42" i="14"/>
  <c r="A41" i="14"/>
  <c r="E40" i="14"/>
  <c r="B40" i="14"/>
  <c r="E39" i="14"/>
  <c r="B39" i="14"/>
  <c r="A38" i="14"/>
  <c r="E37" i="14"/>
  <c r="B37" i="14"/>
  <c r="E36" i="14"/>
  <c r="B36" i="14"/>
  <c r="E35" i="14"/>
  <c r="B35" i="14"/>
  <c r="A34" i="14"/>
  <c r="E33" i="14"/>
  <c r="B33" i="14"/>
  <c r="E32" i="14"/>
  <c r="B32" i="14"/>
  <c r="E31" i="14"/>
  <c r="B31" i="14"/>
  <c r="E30" i="14"/>
  <c r="B30" i="14"/>
  <c r="A29" i="14"/>
  <c r="E28" i="14"/>
  <c r="B28" i="14"/>
  <c r="E27" i="14"/>
  <c r="B27" i="14"/>
  <c r="E26" i="14"/>
  <c r="B26" i="14"/>
  <c r="E25" i="14"/>
  <c r="B25" i="14"/>
  <c r="E24" i="14"/>
  <c r="B24" i="14"/>
  <c r="A23" i="14"/>
  <c r="B22" i="14"/>
  <c r="B21" i="14"/>
  <c r="B20" i="14"/>
  <c r="B19" i="14"/>
  <c r="A18" i="14"/>
  <c r="C17" i="14"/>
  <c r="B17" i="14"/>
  <c r="C16" i="14"/>
  <c r="B16" i="14"/>
  <c r="C15" i="14"/>
  <c r="B15" i="14"/>
  <c r="C14" i="14"/>
  <c r="B14" i="14"/>
  <c r="C13" i="14"/>
  <c r="B13" i="14"/>
  <c r="A12" i="14"/>
  <c r="A11" i="14"/>
  <c r="A10" i="14"/>
  <c r="A9" i="14"/>
  <c r="A8" i="14"/>
  <c r="A7" i="14"/>
  <c r="A6" i="14"/>
  <c r="A5" i="14"/>
  <c r="C3" i="14"/>
  <c r="F2" i="14"/>
  <c r="A65" i="13"/>
  <c r="A64" i="13"/>
  <c r="A63" i="13"/>
  <c r="A62" i="13"/>
  <c r="A61" i="13"/>
  <c r="A60" i="13"/>
  <c r="A59" i="13"/>
  <c r="B55" i="13"/>
  <c r="B54" i="13"/>
  <c r="B53" i="13"/>
  <c r="B52" i="13"/>
  <c r="B51" i="13"/>
  <c r="B50" i="13"/>
  <c r="A49" i="13"/>
  <c r="B48" i="13"/>
  <c r="B47" i="13"/>
  <c r="B46" i="13"/>
  <c r="B45" i="13"/>
  <c r="B44" i="13"/>
  <c r="B43" i="13"/>
  <c r="B42" i="13"/>
  <c r="B41" i="13"/>
  <c r="A40" i="13"/>
  <c r="B39" i="13"/>
  <c r="B38" i="13"/>
  <c r="B37" i="13"/>
  <c r="B36" i="13"/>
  <c r="B35" i="13"/>
  <c r="A34" i="13"/>
  <c r="B33" i="13"/>
  <c r="B32" i="13"/>
  <c r="B31" i="13"/>
  <c r="B30" i="13"/>
  <c r="B29" i="13"/>
  <c r="A28" i="13"/>
  <c r="B27" i="13"/>
  <c r="B26" i="13"/>
  <c r="B25" i="13"/>
  <c r="B24" i="13"/>
  <c r="B23" i="13"/>
  <c r="A22" i="13"/>
  <c r="B21" i="13"/>
  <c r="B20" i="13"/>
  <c r="A19" i="13"/>
  <c r="B18" i="13"/>
  <c r="A17" i="13"/>
  <c r="C16" i="13"/>
  <c r="B16" i="13"/>
  <c r="C15" i="13"/>
  <c r="B15" i="13"/>
  <c r="C14" i="13"/>
  <c r="B14" i="13"/>
  <c r="C13" i="13"/>
  <c r="B13" i="13"/>
  <c r="A12" i="13"/>
  <c r="A11" i="13"/>
  <c r="A10" i="13"/>
  <c r="A9" i="13"/>
  <c r="A8" i="13"/>
  <c r="A7" i="13"/>
  <c r="A6" i="13"/>
  <c r="A5" i="13"/>
  <c r="C3" i="13"/>
  <c r="F2" i="13"/>
  <c r="A94" i="12"/>
  <c r="A93" i="12"/>
  <c r="A92" i="12"/>
  <c r="A91" i="12"/>
  <c r="A90" i="12"/>
  <c r="A89" i="12"/>
  <c r="A88" i="12"/>
  <c r="B85" i="12"/>
  <c r="B84" i="12"/>
  <c r="B83" i="12"/>
  <c r="B82" i="12"/>
  <c r="B81" i="12"/>
  <c r="B80" i="12"/>
  <c r="B79" i="12"/>
  <c r="B78" i="12"/>
  <c r="B77" i="12"/>
  <c r="B76" i="12"/>
  <c r="A75" i="12"/>
  <c r="B74" i="12"/>
  <c r="B73" i="12"/>
  <c r="B72" i="12"/>
  <c r="B71" i="12"/>
  <c r="B70" i="12"/>
  <c r="B69" i="12"/>
  <c r="B68" i="12"/>
  <c r="B67" i="12"/>
  <c r="B66" i="12"/>
  <c r="B65" i="12"/>
  <c r="B64" i="12"/>
  <c r="B63" i="12"/>
  <c r="A62" i="12"/>
  <c r="B61" i="12"/>
  <c r="B60" i="12"/>
  <c r="B59" i="12"/>
  <c r="B58" i="12"/>
  <c r="B57" i="12"/>
  <c r="B56" i="12"/>
  <c r="B55" i="12"/>
  <c r="B54" i="12"/>
  <c r="B53" i="12"/>
  <c r="B52" i="12"/>
  <c r="B51" i="12"/>
  <c r="B50" i="12"/>
  <c r="B49" i="12"/>
  <c r="B48" i="12"/>
  <c r="B47" i="12"/>
  <c r="B46" i="12"/>
  <c r="B45" i="12"/>
  <c r="B44" i="12"/>
  <c r="B43" i="12"/>
  <c r="B42" i="12"/>
  <c r="B41" i="12"/>
  <c r="B40" i="12"/>
  <c r="B39" i="12"/>
  <c r="B38" i="12"/>
  <c r="B37" i="12"/>
  <c r="B36" i="12"/>
  <c r="B35" i="12"/>
  <c r="B34" i="12"/>
  <c r="B33" i="12"/>
  <c r="A32" i="12"/>
  <c r="B31" i="12"/>
  <c r="B30" i="12"/>
  <c r="B29" i="12"/>
  <c r="B28" i="12"/>
  <c r="B27" i="12"/>
  <c r="B26" i="12"/>
  <c r="B25" i="12"/>
  <c r="B24" i="12"/>
  <c r="B23" i="12"/>
  <c r="A22" i="12"/>
  <c r="F21" i="12"/>
  <c r="B21" i="12"/>
  <c r="F20" i="12"/>
  <c r="B20" i="12"/>
  <c r="F19" i="12"/>
  <c r="B19" i="12"/>
  <c r="F18" i="12"/>
  <c r="B18" i="12"/>
  <c r="A17" i="12"/>
  <c r="C16" i="12"/>
  <c r="B16" i="12"/>
  <c r="C15" i="12"/>
  <c r="B15" i="12"/>
  <c r="C14" i="12"/>
  <c r="B14" i="12"/>
  <c r="C13" i="12"/>
  <c r="B13" i="12"/>
  <c r="A12" i="12"/>
  <c r="A11" i="12"/>
  <c r="A10" i="12"/>
  <c r="A9" i="12"/>
  <c r="A8" i="12"/>
  <c r="A7" i="12"/>
  <c r="A6" i="12"/>
  <c r="A5" i="12"/>
  <c r="C3" i="12"/>
  <c r="F2" i="12"/>
  <c r="A47" i="11"/>
  <c r="A46" i="11"/>
  <c r="A45" i="11"/>
  <c r="A44" i="11"/>
  <c r="A43" i="11"/>
  <c r="A42" i="11"/>
  <c r="A41" i="11"/>
  <c r="B37" i="11"/>
  <c r="B36" i="11"/>
  <c r="B35" i="11"/>
  <c r="B34" i="11"/>
  <c r="B33" i="11"/>
  <c r="B32" i="11"/>
  <c r="B31" i="11"/>
  <c r="B30" i="11"/>
  <c r="B29" i="11"/>
  <c r="B28" i="11"/>
  <c r="B27" i="11"/>
  <c r="B26" i="11"/>
  <c r="B25" i="11"/>
  <c r="B24" i="11"/>
  <c r="B23" i="11"/>
  <c r="B22" i="11"/>
  <c r="B21" i="11"/>
  <c r="B20" i="11"/>
  <c r="A19" i="11"/>
  <c r="F18" i="11"/>
  <c r="B18" i="11"/>
  <c r="A17" i="11"/>
  <c r="C16" i="11"/>
  <c r="B16" i="11"/>
  <c r="C15" i="11"/>
  <c r="B15" i="11"/>
  <c r="C14" i="11"/>
  <c r="B14" i="11"/>
  <c r="C13" i="11"/>
  <c r="B13" i="11"/>
  <c r="A12" i="11"/>
  <c r="A11" i="11"/>
  <c r="A10" i="11"/>
  <c r="A9" i="11"/>
  <c r="A8" i="11"/>
  <c r="A7" i="11"/>
  <c r="A6" i="11"/>
  <c r="A5" i="11"/>
  <c r="C3" i="11"/>
  <c r="F2" i="11"/>
  <c r="A84" i="10"/>
  <c r="A83" i="10"/>
  <c r="A82" i="10"/>
  <c r="A81" i="10"/>
  <c r="A80" i="10"/>
  <c r="A79" i="10"/>
  <c r="A78" i="10"/>
  <c r="B74" i="10"/>
  <c r="B73" i="10"/>
  <c r="B72" i="10"/>
  <c r="B71" i="10"/>
  <c r="B70" i="10"/>
  <c r="B69" i="10"/>
  <c r="A68" i="10"/>
  <c r="B67" i="10"/>
  <c r="B66" i="10"/>
  <c r="B65" i="10"/>
  <c r="B64" i="10"/>
  <c r="A63" i="10"/>
  <c r="B62" i="10"/>
  <c r="B61" i="10"/>
  <c r="B60" i="10"/>
  <c r="B59" i="10"/>
  <c r="B58" i="10"/>
  <c r="B57" i="10"/>
  <c r="B56" i="10"/>
  <c r="B55" i="10"/>
  <c r="B54" i="10"/>
  <c r="B53" i="10"/>
  <c r="B52" i="10"/>
  <c r="A51" i="10"/>
  <c r="E50" i="10"/>
  <c r="B50" i="10"/>
  <c r="E49" i="10"/>
  <c r="B49" i="10"/>
  <c r="E48" i="10"/>
  <c r="B48" i="10"/>
  <c r="E47" i="10"/>
  <c r="B47" i="10"/>
  <c r="E46" i="10"/>
  <c r="B46" i="10"/>
  <c r="E45" i="10"/>
  <c r="B45" i="10"/>
  <c r="E44" i="10"/>
  <c r="B44" i="10"/>
  <c r="E43" i="10"/>
  <c r="B43" i="10"/>
  <c r="E42" i="10"/>
  <c r="B42" i="10"/>
  <c r="E41" i="10"/>
  <c r="B41" i="10"/>
  <c r="E40" i="10"/>
  <c r="B40" i="10"/>
  <c r="E39" i="10"/>
  <c r="B39" i="10"/>
  <c r="E38" i="10"/>
  <c r="B38" i="10"/>
  <c r="E37" i="10"/>
  <c r="B37" i="10"/>
  <c r="E36" i="10"/>
  <c r="B36" i="10"/>
  <c r="E35" i="10"/>
  <c r="B35" i="10"/>
  <c r="A34" i="10"/>
  <c r="B33" i="10"/>
  <c r="B32" i="10"/>
  <c r="B31" i="10"/>
  <c r="B30" i="10"/>
  <c r="B29" i="10"/>
  <c r="B28" i="10"/>
  <c r="B27" i="10"/>
  <c r="B26" i="10"/>
  <c r="B25" i="10"/>
  <c r="B24" i="10"/>
  <c r="B23" i="10"/>
  <c r="B22" i="10"/>
  <c r="B21" i="10"/>
  <c r="B20" i="10"/>
  <c r="A19" i="10"/>
  <c r="B18" i="10"/>
  <c r="A17" i="10"/>
  <c r="C16" i="10"/>
  <c r="B16" i="10"/>
  <c r="C15" i="10"/>
  <c r="B15" i="10"/>
  <c r="C14" i="10"/>
  <c r="B14" i="10"/>
  <c r="C13" i="10"/>
  <c r="B13" i="10"/>
  <c r="A12" i="10"/>
  <c r="A11" i="10"/>
  <c r="A10" i="10"/>
  <c r="A9" i="10"/>
  <c r="A8" i="10"/>
  <c r="A7" i="10"/>
  <c r="A6" i="10"/>
  <c r="A5" i="10"/>
  <c r="C3" i="10"/>
  <c r="F2" i="10"/>
  <c r="A72" i="9"/>
  <c r="A71" i="9"/>
  <c r="A70" i="9"/>
  <c r="A69" i="9"/>
  <c r="A68" i="9"/>
  <c r="A67" i="9"/>
  <c r="A66" i="9"/>
  <c r="B61" i="9"/>
  <c r="B60" i="9"/>
  <c r="B59" i="9"/>
  <c r="B58" i="9"/>
  <c r="B57" i="9"/>
  <c r="B56" i="9"/>
  <c r="B55" i="9"/>
  <c r="B54" i="9"/>
  <c r="B53" i="9"/>
  <c r="B52" i="9"/>
  <c r="B51" i="9"/>
  <c r="B50" i="9"/>
  <c r="B49" i="9"/>
  <c r="B48" i="9"/>
  <c r="B47" i="9"/>
  <c r="B46" i="9"/>
  <c r="B45" i="9"/>
  <c r="B44" i="9"/>
  <c r="B43" i="9"/>
  <c r="B42" i="9"/>
  <c r="B41" i="9"/>
  <c r="B40" i="9"/>
  <c r="B39" i="9"/>
  <c r="A38" i="9"/>
  <c r="B37" i="9"/>
  <c r="B36" i="9"/>
  <c r="B35" i="9"/>
  <c r="B34" i="9"/>
  <c r="B33" i="9"/>
  <c r="B32" i="9"/>
  <c r="B31" i="9"/>
  <c r="B30" i="9"/>
  <c r="B29" i="9"/>
  <c r="B28" i="9"/>
  <c r="B27" i="9"/>
  <c r="B26" i="9"/>
  <c r="B25" i="9"/>
  <c r="B24" i="9"/>
  <c r="B23" i="9"/>
  <c r="B22" i="9"/>
  <c r="B21" i="9"/>
  <c r="B20" i="9"/>
  <c r="A19" i="9"/>
  <c r="B18" i="9"/>
  <c r="A17" i="9"/>
  <c r="C16" i="9"/>
  <c r="B16" i="9"/>
  <c r="C15" i="9"/>
  <c r="B15" i="9"/>
  <c r="C14" i="9"/>
  <c r="B14" i="9"/>
  <c r="C13" i="9"/>
  <c r="B13" i="9"/>
  <c r="A12" i="9"/>
  <c r="A11" i="9"/>
  <c r="A10" i="9"/>
  <c r="A9" i="9"/>
  <c r="A8" i="9"/>
  <c r="A7" i="9"/>
  <c r="A6" i="9"/>
  <c r="A5" i="9"/>
  <c r="C3" i="9"/>
  <c r="F2" i="9"/>
  <c r="E36" i="4"/>
  <c r="B36" i="4"/>
  <c r="E35" i="4"/>
  <c r="B35" i="4"/>
  <c r="E34" i="4"/>
  <c r="B34" i="4"/>
  <c r="E33" i="4"/>
  <c r="B33" i="4"/>
  <c r="E32" i="4"/>
  <c r="B32" i="4"/>
  <c r="E31" i="4"/>
  <c r="B31" i="4"/>
  <c r="E30" i="4"/>
  <c r="B30" i="4"/>
  <c r="E29" i="4"/>
  <c r="B29" i="4"/>
  <c r="A28" i="4"/>
  <c r="E27" i="4"/>
  <c r="B27" i="4"/>
  <c r="E26" i="4"/>
  <c r="B26" i="4"/>
  <c r="E25" i="4"/>
  <c r="B25" i="4"/>
  <c r="E24" i="4"/>
  <c r="B24" i="4"/>
  <c r="E23" i="4"/>
  <c r="B23" i="4"/>
  <c r="A22" i="4"/>
  <c r="B21" i="4"/>
  <c r="B20" i="4"/>
  <c r="B19" i="4"/>
  <c r="B18" i="4"/>
  <c r="B17" i="4"/>
  <c r="B16" i="4"/>
  <c r="B15" i="4"/>
  <c r="B14" i="4"/>
  <c r="B13" i="4"/>
  <c r="A12" i="4"/>
  <c r="A11" i="4"/>
  <c r="A10" i="4"/>
  <c r="A9" i="4"/>
  <c r="A8" i="4"/>
  <c r="A7" i="4"/>
  <c r="A6" i="4"/>
  <c r="A5" i="4"/>
  <c r="F2" i="4"/>
  <c r="A77" i="8"/>
  <c r="A76" i="8"/>
  <c r="A75" i="8"/>
  <c r="A74" i="8"/>
  <c r="A73" i="8"/>
  <c r="A72" i="8"/>
  <c r="A71" i="8"/>
  <c r="E67" i="8"/>
  <c r="B67" i="8"/>
  <c r="E66" i="8"/>
  <c r="B66" i="8"/>
  <c r="E65" i="8"/>
  <c r="B65" i="8"/>
  <c r="E64" i="8"/>
  <c r="B64" i="8"/>
  <c r="E63" i="8"/>
  <c r="B63" i="8"/>
  <c r="E62" i="8"/>
  <c r="B62" i="8"/>
  <c r="E61" i="8"/>
  <c r="B61" i="8"/>
  <c r="E60" i="8"/>
  <c r="B60" i="8"/>
  <c r="E59" i="8"/>
  <c r="B59" i="8"/>
  <c r="E58" i="8"/>
  <c r="B58" i="8"/>
  <c r="E57" i="8"/>
  <c r="B57" i="8"/>
  <c r="E56" i="8"/>
  <c r="B56" i="8"/>
  <c r="E55" i="8"/>
  <c r="B55" i="8"/>
  <c r="E54" i="8"/>
  <c r="B54" i="8"/>
  <c r="E53" i="8"/>
  <c r="B53" i="8"/>
  <c r="A52" i="8"/>
  <c r="E51" i="8"/>
  <c r="B51" i="8"/>
  <c r="E50" i="8"/>
  <c r="B50" i="8"/>
  <c r="E49" i="8"/>
  <c r="B49" i="8"/>
  <c r="E48" i="8"/>
  <c r="B48" i="8"/>
  <c r="E47" i="8"/>
  <c r="B47" i="8"/>
  <c r="E46" i="8"/>
  <c r="B46" i="8"/>
  <c r="E45" i="8"/>
  <c r="B45" i="8"/>
  <c r="E44" i="8"/>
  <c r="B44" i="8"/>
  <c r="E43" i="8"/>
  <c r="B43" i="8"/>
  <c r="E42" i="8"/>
  <c r="B42" i="8"/>
  <c r="E41" i="8"/>
  <c r="B41" i="8"/>
  <c r="E40" i="8"/>
  <c r="B40" i="8"/>
  <c r="E39" i="8"/>
  <c r="B39" i="8"/>
  <c r="E38" i="8"/>
  <c r="B38" i="8"/>
  <c r="E37" i="8"/>
  <c r="B37" i="8"/>
  <c r="E36" i="8"/>
  <c r="B36" i="8"/>
  <c r="A35" i="8"/>
  <c r="E34" i="8"/>
  <c r="B34" i="8"/>
  <c r="E33" i="8"/>
  <c r="B33" i="8"/>
  <c r="E32" i="8"/>
  <c r="B32" i="8"/>
  <c r="E31" i="8"/>
  <c r="B31" i="8"/>
  <c r="E30" i="8"/>
  <c r="B30" i="8"/>
  <c r="A29" i="8"/>
  <c r="E28" i="8"/>
  <c r="B28" i="8"/>
  <c r="E27" i="8"/>
  <c r="B27" i="8"/>
  <c r="E26" i="8"/>
  <c r="B26" i="8"/>
  <c r="E25" i="8"/>
  <c r="B25" i="8"/>
  <c r="E24" i="8"/>
  <c r="B24" i="8"/>
  <c r="E23" i="8"/>
  <c r="B23" i="8"/>
  <c r="E22" i="8"/>
  <c r="B22" i="8"/>
  <c r="A21" i="8"/>
  <c r="C20" i="8"/>
  <c r="B20" i="8"/>
  <c r="C19" i="8"/>
  <c r="B19" i="8"/>
  <c r="C18" i="8"/>
  <c r="B18" i="8"/>
  <c r="C17" i="8"/>
  <c r="B17" i="8"/>
  <c r="C16" i="8"/>
  <c r="B16" i="8"/>
  <c r="C15" i="8"/>
  <c r="B15" i="8"/>
  <c r="C14" i="8"/>
  <c r="B14" i="8"/>
  <c r="C13" i="8"/>
  <c r="B13" i="8"/>
  <c r="A12" i="8"/>
  <c r="A11" i="8"/>
  <c r="A10" i="8"/>
  <c r="A9" i="8"/>
  <c r="A8" i="8"/>
  <c r="A7" i="8"/>
  <c r="A6" i="8"/>
  <c r="A5" i="8"/>
  <c r="C3" i="8"/>
  <c r="F2" i="8"/>
  <c r="E51" i="25" l="1"/>
  <c r="D51" i="25"/>
  <c r="D54" i="25"/>
  <c r="E54" i="25"/>
  <c r="J148" i="25"/>
  <c r="F206" i="25"/>
  <c r="H205" i="25"/>
  <c r="J204" i="25"/>
  <c r="H204" i="25"/>
  <c r="J203" i="25"/>
  <c r="F203" i="25"/>
  <c r="K202" i="25"/>
  <c r="K201" i="25"/>
  <c r="F201" i="25"/>
  <c r="J200" i="25"/>
  <c r="F200" i="25"/>
  <c r="H172" i="25"/>
  <c r="K171" i="25"/>
  <c r="K149" i="25"/>
  <c r="F149" i="25"/>
  <c r="H148" i="25"/>
  <c r="J147" i="25"/>
  <c r="F147" i="25"/>
  <c r="F146" i="25"/>
  <c r="H141" i="25"/>
  <c r="J140" i="25"/>
  <c r="K139" i="25"/>
  <c r="H139" i="25"/>
  <c r="J138" i="25"/>
  <c r="K137" i="25"/>
  <c r="H137" i="25"/>
  <c r="H136" i="25"/>
  <c r="K134" i="25"/>
  <c r="F134" i="25"/>
  <c r="F133" i="25"/>
  <c r="F132" i="25"/>
  <c r="J131" i="25"/>
  <c r="J129" i="25"/>
  <c r="K128" i="25"/>
  <c r="F128" i="25"/>
  <c r="F127" i="25"/>
  <c r="J126" i="25"/>
  <c r="K206" i="25"/>
  <c r="H206" i="25"/>
  <c r="J205" i="25"/>
  <c r="K204" i="25"/>
  <c r="F204" i="25"/>
  <c r="K203" i="25"/>
  <c r="H203" i="25"/>
  <c r="J202" i="25"/>
  <c r="F202" i="25"/>
  <c r="J201" i="25"/>
  <c r="K200" i="25"/>
  <c r="K172" i="25"/>
  <c r="F172" i="25"/>
  <c r="H171" i="25"/>
  <c r="J149" i="25"/>
  <c r="K148" i="25"/>
  <c r="F148" i="25"/>
  <c r="H147" i="25"/>
  <c r="J146" i="25"/>
  <c r="K141" i="25"/>
  <c r="F141" i="25"/>
  <c r="H140" i="25"/>
  <c r="J139" i="25"/>
  <c r="K138" i="25"/>
  <c r="H138" i="25"/>
  <c r="F137" i="25"/>
  <c r="J136" i="25"/>
  <c r="J134" i="25"/>
  <c r="J133" i="25"/>
  <c r="K132" i="25"/>
  <c r="H132" i="25"/>
  <c r="K131" i="25"/>
  <c r="F131" i="25"/>
  <c r="F129" i="25"/>
  <c r="J128" i="25"/>
  <c r="J127" i="25"/>
  <c r="L126" i="25"/>
  <c r="H126" i="25"/>
  <c r="K205" i="25"/>
  <c r="H202" i="25"/>
  <c r="H201" i="25"/>
  <c r="H200" i="25"/>
  <c r="J172" i="25"/>
  <c r="J171" i="25"/>
  <c r="F171" i="25"/>
  <c r="H149" i="25"/>
  <c r="J206" i="25"/>
  <c r="K147" i="25"/>
  <c r="K146" i="25"/>
  <c r="H146" i="25"/>
  <c r="J141" i="25"/>
  <c r="K140" i="25"/>
  <c r="F140" i="25"/>
  <c r="F139" i="25"/>
  <c r="F138" i="25"/>
  <c r="J137" i="25"/>
  <c r="K136" i="25"/>
  <c r="F136" i="25"/>
  <c r="H134" i="25"/>
  <c r="H133" i="25"/>
  <c r="J132" i="25"/>
  <c r="H131" i="25"/>
  <c r="H129" i="25"/>
  <c r="H128" i="25"/>
  <c r="H127" i="25"/>
  <c r="K126" i="25"/>
  <c r="F126" i="25"/>
  <c r="F205" i="25"/>
  <c r="K133" i="25"/>
  <c r="K129" i="25"/>
  <c r="K127" i="25"/>
  <c r="F18" i="13"/>
  <c r="F18" i="10"/>
  <c r="F18" i="9"/>
  <c r="F36" i="4"/>
  <c r="F22" i="14" s="1"/>
  <c r="F35" i="4"/>
  <c r="F34" i="4"/>
  <c r="F21" i="14" s="1"/>
  <c r="F33" i="4"/>
  <c r="F20" i="14" s="1"/>
  <c r="F32" i="4"/>
  <c r="F19" i="14" s="1"/>
  <c r="F31" i="4"/>
  <c r="F30" i="4"/>
  <c r="F29" i="4"/>
  <c r="F27" i="4"/>
  <c r="F26" i="4"/>
  <c r="F25" i="4"/>
  <c r="F24" i="4"/>
  <c r="F23" i="4"/>
  <c r="F67" i="8"/>
  <c r="F66" i="8"/>
  <c r="F65" i="8"/>
  <c r="F64" i="8"/>
  <c r="F63" i="8"/>
  <c r="F62" i="8"/>
  <c r="F61" i="8"/>
  <c r="F60" i="8"/>
  <c r="F59" i="8"/>
  <c r="F58" i="8"/>
  <c r="F57" i="8"/>
  <c r="F56" i="8"/>
  <c r="F55" i="8"/>
  <c r="F54" i="8"/>
  <c r="F53" i="8"/>
  <c r="F51" i="8"/>
  <c r="F50" i="8"/>
  <c r="F49" i="8"/>
  <c r="F48" i="8"/>
  <c r="F47" i="8"/>
  <c r="F46" i="8"/>
  <c r="F45" i="8"/>
  <c r="F44" i="8"/>
  <c r="F43" i="8"/>
  <c r="F42" i="8"/>
  <c r="F41" i="8"/>
  <c r="F40" i="8"/>
  <c r="F39" i="8"/>
  <c r="F38" i="8"/>
  <c r="F37" i="8"/>
  <c r="F36" i="8"/>
  <c r="F34" i="8"/>
  <c r="F33" i="8"/>
  <c r="F32" i="8"/>
  <c r="F31" i="8"/>
  <c r="F30" i="8"/>
  <c r="F28" i="8"/>
  <c r="F27" i="8"/>
  <c r="F26" i="8"/>
  <c r="F25" i="8"/>
  <c r="F24" i="8"/>
  <c r="F23" i="8"/>
  <c r="F22" i="8"/>
  <c r="J169" i="25"/>
  <c r="F20" i="9"/>
  <c r="H167" i="25"/>
  <c r="J166" i="25"/>
  <c r="K165" i="25"/>
  <c r="H165" i="25"/>
  <c r="K169" i="25"/>
  <c r="F169" i="25"/>
  <c r="H168" i="25"/>
  <c r="J167" i="25"/>
  <c r="F167" i="25"/>
  <c r="H166" i="25"/>
  <c r="J165" i="25"/>
  <c r="H169" i="25"/>
  <c r="J168" i="25"/>
  <c r="K167" i="25"/>
  <c r="K166" i="25"/>
  <c r="F166" i="25"/>
  <c r="F165" i="25"/>
  <c r="K168" i="25"/>
  <c r="F37" i="9"/>
  <c r="F36" i="9"/>
  <c r="F35" i="9"/>
  <c r="F34" i="9"/>
  <c r="F33" i="9"/>
  <c r="F32" i="9"/>
  <c r="F31" i="9"/>
  <c r="F30" i="9"/>
  <c r="F29" i="9"/>
  <c r="F28" i="9"/>
  <c r="F27" i="9"/>
  <c r="F26" i="9"/>
  <c r="F25" i="9"/>
  <c r="F24" i="9"/>
  <c r="F23" i="9"/>
  <c r="F22" i="9"/>
  <c r="F21" i="9"/>
  <c r="F168" i="25"/>
  <c r="E333" i="20"/>
  <c r="D333" i="20"/>
  <c r="C333" i="20"/>
  <c r="B333" i="20"/>
  <c r="E332" i="20"/>
  <c r="D332" i="20"/>
  <c r="C332" i="20"/>
  <c r="B332" i="20"/>
  <c r="E331" i="20"/>
  <c r="D331" i="20"/>
  <c r="C331" i="20"/>
  <c r="B331" i="20"/>
  <c r="E330" i="20"/>
  <c r="D330" i="20"/>
  <c r="C330" i="20"/>
  <c r="B330" i="20"/>
  <c r="E329" i="20"/>
  <c r="D329" i="20"/>
  <c r="C329" i="20"/>
  <c r="B329" i="20"/>
  <c r="E328" i="20"/>
  <c r="D328" i="20"/>
  <c r="C328" i="20"/>
  <c r="B328" i="20"/>
  <c r="E327" i="20"/>
  <c r="D327" i="20"/>
  <c r="C327" i="20"/>
  <c r="B327" i="20"/>
  <c r="E326" i="20"/>
  <c r="D326" i="20"/>
  <c r="C326" i="20"/>
  <c r="B326" i="20"/>
  <c r="E325" i="20"/>
  <c r="D325" i="20"/>
  <c r="C325" i="20"/>
  <c r="B325" i="20"/>
  <c r="E324" i="20"/>
  <c r="D324" i="20"/>
  <c r="C324" i="20"/>
  <c r="B324" i="20"/>
  <c r="E323" i="20"/>
  <c r="D323" i="20"/>
  <c r="C323" i="20"/>
  <c r="B323" i="20"/>
  <c r="E322" i="20"/>
  <c r="D322" i="20"/>
  <c r="C322" i="20"/>
  <c r="B322" i="20"/>
  <c r="E321" i="20"/>
  <c r="D321" i="20"/>
  <c r="C321" i="20"/>
  <c r="B321" i="20"/>
  <c r="E320" i="20"/>
  <c r="D320" i="20"/>
  <c r="C320" i="20"/>
  <c r="B320" i="20"/>
  <c r="E319" i="20"/>
  <c r="D319" i="20"/>
  <c r="C319" i="20"/>
  <c r="B319" i="20"/>
  <c r="E318" i="20"/>
  <c r="L318" i="20" s="1"/>
  <c r="D318" i="20"/>
  <c r="C318" i="20"/>
  <c r="B318" i="20"/>
  <c r="E317" i="20"/>
  <c r="D317" i="20"/>
  <c r="C317" i="20"/>
  <c r="B317" i="20"/>
  <c r="E316" i="20"/>
  <c r="D316" i="20"/>
  <c r="C316" i="20"/>
  <c r="B316" i="20"/>
  <c r="E315" i="20"/>
  <c r="D315" i="20"/>
  <c r="C315" i="20"/>
  <c r="B315" i="20"/>
  <c r="E314" i="20"/>
  <c r="D314" i="20"/>
  <c r="C314" i="20"/>
  <c r="B314" i="20"/>
  <c r="E313" i="20"/>
  <c r="D313" i="20"/>
  <c r="C313" i="20"/>
  <c r="B313" i="20"/>
  <c r="E312" i="20"/>
  <c r="D312" i="20"/>
  <c r="C312" i="20"/>
  <c r="B312" i="20"/>
  <c r="E311" i="20"/>
  <c r="D311" i="20"/>
  <c r="C311" i="20"/>
  <c r="B311" i="20"/>
  <c r="E310" i="20"/>
  <c r="D310" i="20"/>
  <c r="C310" i="20"/>
  <c r="B310" i="20"/>
  <c r="E309" i="20"/>
  <c r="D309" i="20"/>
  <c r="C309" i="20"/>
  <c r="B309" i="20"/>
  <c r="E308" i="20"/>
  <c r="L308" i="20" s="1"/>
  <c r="D308" i="20"/>
  <c r="C308" i="20"/>
  <c r="B308" i="20"/>
  <c r="E307" i="20"/>
  <c r="D307" i="20"/>
  <c r="C307" i="20"/>
  <c r="B307" i="20"/>
  <c r="E306" i="20"/>
  <c r="D306" i="20"/>
  <c r="C306" i="20"/>
  <c r="B306" i="20"/>
  <c r="E305" i="20"/>
  <c r="D305" i="20"/>
  <c r="C305" i="20"/>
  <c r="B305" i="20"/>
  <c r="E304" i="20"/>
  <c r="L304" i="20" s="1"/>
  <c r="D304" i="20"/>
  <c r="C304" i="20"/>
  <c r="B304" i="20"/>
  <c r="E303" i="20"/>
  <c r="L303" i="20" s="1"/>
  <c r="D303" i="20"/>
  <c r="C303" i="20"/>
  <c r="B303" i="20"/>
  <c r="M302" i="20"/>
  <c r="Q302" i="20" s="1"/>
  <c r="S302" i="20" s="1"/>
  <c r="J302" i="20"/>
  <c r="I302" i="20"/>
  <c r="K302" i="20" s="1"/>
  <c r="H302" i="20"/>
  <c r="G302" i="20"/>
  <c r="F302" i="20"/>
  <c r="E302" i="20"/>
  <c r="D302" i="20"/>
  <c r="C302" i="20"/>
  <c r="B302" i="20"/>
  <c r="M301" i="20"/>
  <c r="Q301" i="20" s="1"/>
  <c r="S301" i="20" s="1"/>
  <c r="J301" i="20"/>
  <c r="I301" i="20"/>
  <c r="K301" i="20" s="1"/>
  <c r="H301" i="20"/>
  <c r="G301" i="20"/>
  <c r="F301" i="20"/>
  <c r="E301" i="20"/>
  <c r="D301" i="20"/>
  <c r="C301" i="20"/>
  <c r="B301" i="20"/>
  <c r="M300" i="20"/>
  <c r="Q300" i="20" s="1"/>
  <c r="S300" i="20" s="1"/>
  <c r="J300" i="20"/>
  <c r="I300" i="20"/>
  <c r="K300" i="20" s="1"/>
  <c r="H300" i="20"/>
  <c r="G300" i="20"/>
  <c r="F300" i="20"/>
  <c r="E300" i="20"/>
  <c r="D300" i="20"/>
  <c r="C300" i="20"/>
  <c r="B300" i="20"/>
  <c r="M299" i="20"/>
  <c r="Q299" i="20" s="1"/>
  <c r="S299" i="20" s="1"/>
  <c r="J299" i="20"/>
  <c r="I299" i="20"/>
  <c r="K299" i="20" s="1"/>
  <c r="H299" i="20"/>
  <c r="G299" i="20"/>
  <c r="F299" i="20"/>
  <c r="E299" i="20"/>
  <c r="D299" i="20"/>
  <c r="C299" i="20"/>
  <c r="B299" i="20"/>
  <c r="M298" i="20"/>
  <c r="Q298" i="20" s="1"/>
  <c r="S298" i="20" s="1"/>
  <c r="J298" i="20"/>
  <c r="I298" i="20"/>
  <c r="K298" i="20" s="1"/>
  <c r="H298" i="20"/>
  <c r="G298" i="20"/>
  <c r="F298" i="20"/>
  <c r="E298" i="20"/>
  <c r="D298" i="20"/>
  <c r="C298" i="20"/>
  <c r="B298" i="20"/>
  <c r="M297" i="20"/>
  <c r="Q297" i="20" s="1"/>
  <c r="S297" i="20" s="1"/>
  <c r="J297" i="20"/>
  <c r="I297" i="20"/>
  <c r="K297" i="20" s="1"/>
  <c r="H297" i="20"/>
  <c r="G297" i="20"/>
  <c r="F297" i="20"/>
  <c r="E297" i="20"/>
  <c r="D297" i="20"/>
  <c r="C297" i="20"/>
  <c r="B297" i="20"/>
  <c r="M296" i="20"/>
  <c r="Q296" i="20" s="1"/>
  <c r="S296" i="20" s="1"/>
  <c r="J296" i="20"/>
  <c r="I296" i="20"/>
  <c r="K296" i="20" s="1"/>
  <c r="H296" i="20"/>
  <c r="G296" i="20"/>
  <c r="F296" i="20"/>
  <c r="E296" i="20"/>
  <c r="D296" i="20"/>
  <c r="C296" i="20"/>
  <c r="B296" i="20"/>
  <c r="M295" i="20"/>
  <c r="Q295" i="20" s="1"/>
  <c r="S295" i="20" s="1"/>
  <c r="J295" i="20"/>
  <c r="I295" i="20"/>
  <c r="K295" i="20" s="1"/>
  <c r="H295" i="20"/>
  <c r="G295" i="20"/>
  <c r="F295" i="20"/>
  <c r="E295" i="20"/>
  <c r="D295" i="20"/>
  <c r="C295" i="20"/>
  <c r="B295" i="20"/>
  <c r="M294" i="20"/>
  <c r="Q294" i="20" s="1"/>
  <c r="S294" i="20" s="1"/>
  <c r="J294" i="20"/>
  <c r="I294" i="20"/>
  <c r="K294" i="20" s="1"/>
  <c r="H294" i="20"/>
  <c r="G294" i="20"/>
  <c r="F294" i="20"/>
  <c r="E294" i="20"/>
  <c r="D294" i="20"/>
  <c r="C294" i="20"/>
  <c r="B294" i="20"/>
  <c r="M293" i="20"/>
  <c r="Q293" i="20" s="1"/>
  <c r="S293" i="20" s="1"/>
  <c r="J293" i="20"/>
  <c r="I293" i="20"/>
  <c r="K293" i="20" s="1"/>
  <c r="H293" i="20"/>
  <c r="G293" i="20"/>
  <c r="F293" i="20"/>
  <c r="E293" i="20"/>
  <c r="D293" i="20"/>
  <c r="C293" i="20"/>
  <c r="B293" i="20"/>
  <c r="M292" i="20"/>
  <c r="Q292" i="20" s="1"/>
  <c r="S292" i="20" s="1"/>
  <c r="J292" i="20"/>
  <c r="I292" i="20"/>
  <c r="K292" i="20" s="1"/>
  <c r="H292" i="20"/>
  <c r="G292" i="20"/>
  <c r="F292" i="20"/>
  <c r="E292" i="20"/>
  <c r="D292" i="20"/>
  <c r="C292" i="20"/>
  <c r="B292" i="20"/>
  <c r="M291" i="20"/>
  <c r="Q291" i="20" s="1"/>
  <c r="S291" i="20" s="1"/>
  <c r="J291" i="20"/>
  <c r="I291" i="20"/>
  <c r="K291" i="20" s="1"/>
  <c r="H291" i="20"/>
  <c r="G291" i="20"/>
  <c r="F291" i="20"/>
  <c r="E291" i="20"/>
  <c r="D291" i="20"/>
  <c r="C291" i="20"/>
  <c r="B291" i="20"/>
  <c r="M290" i="20"/>
  <c r="Q290" i="20" s="1"/>
  <c r="S290" i="20" s="1"/>
  <c r="J290" i="20"/>
  <c r="I290" i="20"/>
  <c r="K290" i="20" s="1"/>
  <c r="H290" i="20"/>
  <c r="G290" i="20"/>
  <c r="F290" i="20"/>
  <c r="E290" i="20"/>
  <c r="D290" i="20"/>
  <c r="C290" i="20"/>
  <c r="B290" i="20"/>
  <c r="M289" i="20"/>
  <c r="Q289" i="20" s="1"/>
  <c r="S289" i="20" s="1"/>
  <c r="J289" i="20"/>
  <c r="I289" i="20"/>
  <c r="K289" i="20" s="1"/>
  <c r="H289" i="20"/>
  <c r="G289" i="20"/>
  <c r="F289" i="20"/>
  <c r="E289" i="20"/>
  <c r="D289" i="20"/>
  <c r="C289" i="20"/>
  <c r="B289" i="20"/>
  <c r="M288" i="20"/>
  <c r="Q288" i="20" s="1"/>
  <c r="S288" i="20" s="1"/>
  <c r="J288" i="20"/>
  <c r="I288" i="20"/>
  <c r="K288" i="20" s="1"/>
  <c r="H288" i="20"/>
  <c r="G288" i="20"/>
  <c r="F288" i="20"/>
  <c r="E288" i="20"/>
  <c r="D288" i="20"/>
  <c r="C288" i="20"/>
  <c r="B288" i="20"/>
  <c r="M287" i="20"/>
  <c r="Q287" i="20" s="1"/>
  <c r="S287" i="20" s="1"/>
  <c r="J287" i="20"/>
  <c r="I287" i="20"/>
  <c r="K287" i="20" s="1"/>
  <c r="H287" i="20"/>
  <c r="G287" i="20"/>
  <c r="F287" i="20"/>
  <c r="E287" i="20"/>
  <c r="D287" i="20"/>
  <c r="C287" i="20"/>
  <c r="B287" i="20"/>
  <c r="M286" i="20"/>
  <c r="Q286" i="20" s="1"/>
  <c r="S286" i="20" s="1"/>
  <c r="J286" i="20"/>
  <c r="I286" i="20"/>
  <c r="K286" i="20" s="1"/>
  <c r="H286" i="20"/>
  <c r="G286" i="20"/>
  <c r="F286" i="20"/>
  <c r="E286" i="20"/>
  <c r="D286" i="20"/>
  <c r="C286" i="20"/>
  <c r="B286" i="20"/>
  <c r="M285" i="20"/>
  <c r="Q285" i="20" s="1"/>
  <c r="S285" i="20" s="1"/>
  <c r="J285" i="20"/>
  <c r="I285" i="20"/>
  <c r="K285" i="20" s="1"/>
  <c r="H285" i="20"/>
  <c r="G285" i="20"/>
  <c r="F285" i="20"/>
  <c r="E285" i="20"/>
  <c r="D285" i="20"/>
  <c r="C285" i="20"/>
  <c r="B285" i="20"/>
  <c r="M284" i="20"/>
  <c r="Q284" i="20" s="1"/>
  <c r="S284" i="20" s="1"/>
  <c r="J284" i="20"/>
  <c r="I284" i="20"/>
  <c r="K284" i="20" s="1"/>
  <c r="H284" i="20"/>
  <c r="G284" i="20"/>
  <c r="F284" i="20"/>
  <c r="E284" i="20"/>
  <c r="D284" i="20"/>
  <c r="C284" i="20"/>
  <c r="B284" i="20"/>
  <c r="M283" i="20"/>
  <c r="Q283" i="20" s="1"/>
  <c r="S283" i="20" s="1"/>
  <c r="J283" i="20"/>
  <c r="I283" i="20"/>
  <c r="K283" i="20" s="1"/>
  <c r="H283" i="20"/>
  <c r="G283" i="20"/>
  <c r="F283" i="20"/>
  <c r="E283" i="20"/>
  <c r="D283" i="20"/>
  <c r="C283" i="20"/>
  <c r="B283" i="20"/>
  <c r="M282" i="20"/>
  <c r="Q282" i="20" s="1"/>
  <c r="S282" i="20" s="1"/>
  <c r="J282" i="20"/>
  <c r="I282" i="20"/>
  <c r="K282" i="20" s="1"/>
  <c r="H282" i="20"/>
  <c r="G282" i="20"/>
  <c r="F282" i="20"/>
  <c r="E282" i="20"/>
  <c r="D282" i="20"/>
  <c r="C282" i="20"/>
  <c r="B282" i="20"/>
  <c r="M281" i="20"/>
  <c r="Q281" i="20" s="1"/>
  <c r="S281" i="20" s="1"/>
  <c r="J281" i="20"/>
  <c r="I281" i="20"/>
  <c r="K281" i="20" s="1"/>
  <c r="H281" i="20"/>
  <c r="G281" i="20"/>
  <c r="F281" i="20"/>
  <c r="E281" i="20"/>
  <c r="D281" i="20"/>
  <c r="C281" i="20"/>
  <c r="B281" i="20"/>
  <c r="M280" i="20"/>
  <c r="Q280" i="20" s="1"/>
  <c r="S280" i="20" s="1"/>
  <c r="J280" i="20"/>
  <c r="I280" i="20"/>
  <c r="K280" i="20" s="1"/>
  <c r="H280" i="20"/>
  <c r="G280" i="20"/>
  <c r="F280" i="20"/>
  <c r="E280" i="20"/>
  <c r="D280" i="20"/>
  <c r="C280" i="20"/>
  <c r="B280" i="20"/>
  <c r="M279" i="20"/>
  <c r="Q279" i="20" s="1"/>
  <c r="S279" i="20" s="1"/>
  <c r="J279" i="20"/>
  <c r="I279" i="20"/>
  <c r="K279" i="20" s="1"/>
  <c r="H279" i="20"/>
  <c r="G279" i="20"/>
  <c r="F279" i="20"/>
  <c r="E279" i="20"/>
  <c r="D279" i="20"/>
  <c r="C279" i="20"/>
  <c r="B279" i="20"/>
  <c r="M278" i="20"/>
  <c r="Q278" i="20" s="1"/>
  <c r="S278" i="20" s="1"/>
  <c r="J278" i="20"/>
  <c r="I278" i="20"/>
  <c r="K278" i="20" s="1"/>
  <c r="H278" i="20"/>
  <c r="G278" i="20"/>
  <c r="F278" i="20"/>
  <c r="E278" i="20"/>
  <c r="D278" i="20"/>
  <c r="C278" i="20"/>
  <c r="B278" i="20"/>
  <c r="M277" i="20"/>
  <c r="Q277" i="20" s="1"/>
  <c r="S277" i="20" s="1"/>
  <c r="J277" i="20"/>
  <c r="I277" i="20"/>
  <c r="K277" i="20" s="1"/>
  <c r="H277" i="20"/>
  <c r="G277" i="20"/>
  <c r="F277" i="20"/>
  <c r="E277" i="20"/>
  <c r="D277" i="20"/>
  <c r="C277" i="20"/>
  <c r="B277" i="20"/>
  <c r="M276" i="20"/>
  <c r="Q276" i="20" s="1"/>
  <c r="S276" i="20" s="1"/>
  <c r="J276" i="20"/>
  <c r="I276" i="20"/>
  <c r="K276" i="20" s="1"/>
  <c r="H276" i="20"/>
  <c r="G276" i="20"/>
  <c r="F276" i="20"/>
  <c r="E276" i="20"/>
  <c r="D276" i="20"/>
  <c r="C276" i="20"/>
  <c r="B276" i="20"/>
  <c r="M275" i="20"/>
  <c r="Q275" i="20" s="1"/>
  <c r="S275" i="20" s="1"/>
  <c r="J275" i="20"/>
  <c r="I275" i="20"/>
  <c r="K275" i="20" s="1"/>
  <c r="H275" i="20"/>
  <c r="G275" i="20"/>
  <c r="F275" i="20"/>
  <c r="E275" i="20"/>
  <c r="D275" i="20"/>
  <c r="C275" i="20"/>
  <c r="B275" i="20"/>
  <c r="M274" i="20"/>
  <c r="Q274" i="20" s="1"/>
  <c r="S274" i="20" s="1"/>
  <c r="J274" i="20"/>
  <c r="I274" i="20"/>
  <c r="K274" i="20" s="1"/>
  <c r="H274" i="20"/>
  <c r="G274" i="20"/>
  <c r="F274" i="20"/>
  <c r="E274" i="20"/>
  <c r="D274" i="20"/>
  <c r="C274" i="20"/>
  <c r="B274" i="20"/>
  <c r="M273" i="20"/>
  <c r="Q273" i="20" s="1"/>
  <c r="S273" i="20" s="1"/>
  <c r="J273" i="20"/>
  <c r="I273" i="20"/>
  <c r="K273" i="20" s="1"/>
  <c r="H273" i="20"/>
  <c r="G273" i="20"/>
  <c r="F273" i="20"/>
  <c r="E273" i="20"/>
  <c r="D273" i="20"/>
  <c r="C273" i="20"/>
  <c r="B273" i="20"/>
  <c r="M272" i="20"/>
  <c r="Q272" i="20" s="1"/>
  <c r="S272" i="20" s="1"/>
  <c r="J272" i="20"/>
  <c r="I272" i="20"/>
  <c r="K272" i="20" s="1"/>
  <c r="H272" i="20"/>
  <c r="G272" i="20"/>
  <c r="F272" i="20"/>
  <c r="E272" i="20"/>
  <c r="D272" i="20"/>
  <c r="C272" i="20"/>
  <c r="B272" i="20"/>
  <c r="M271" i="20"/>
  <c r="Q271" i="20" s="1"/>
  <c r="S271" i="20" s="1"/>
  <c r="J271" i="20"/>
  <c r="I271" i="20"/>
  <c r="K271" i="20" s="1"/>
  <c r="H271" i="20"/>
  <c r="G271" i="20"/>
  <c r="F271" i="20"/>
  <c r="E271" i="20"/>
  <c r="D271" i="20"/>
  <c r="C271" i="20"/>
  <c r="B271" i="20"/>
  <c r="M270" i="20"/>
  <c r="Q270" i="20" s="1"/>
  <c r="S270" i="20" s="1"/>
  <c r="J270" i="20"/>
  <c r="I270" i="20"/>
  <c r="K270" i="20" s="1"/>
  <c r="H270" i="20"/>
  <c r="G270" i="20"/>
  <c r="F270" i="20"/>
  <c r="E270" i="20"/>
  <c r="D270" i="20"/>
  <c r="C270" i="20"/>
  <c r="B270" i="20"/>
  <c r="C269" i="20"/>
  <c r="M269" i="20"/>
  <c r="Q269" i="20" s="1"/>
  <c r="S269" i="20" s="1"/>
  <c r="I269" i="20"/>
  <c r="K269" i="20" s="1"/>
  <c r="H269" i="20"/>
  <c r="G269" i="20"/>
  <c r="F269" i="20"/>
  <c r="E269" i="20"/>
  <c r="D269" i="20"/>
  <c r="J269" i="20"/>
  <c r="B269" i="20"/>
  <c r="F268" i="20"/>
  <c r="J268" i="20"/>
  <c r="I268" i="20"/>
  <c r="K268" i="20" s="1"/>
  <c r="H268" i="20"/>
  <c r="G268" i="20"/>
  <c r="M268" i="20"/>
  <c r="Q268" i="20" s="1"/>
  <c r="S268" i="20" s="1"/>
  <c r="E268" i="20"/>
  <c r="D268" i="20"/>
  <c r="C268" i="20"/>
  <c r="B268" i="20"/>
  <c r="M267" i="20"/>
  <c r="Q267" i="20" s="1"/>
  <c r="S267" i="20" s="1"/>
  <c r="J267" i="20"/>
  <c r="I267" i="20"/>
  <c r="K267" i="20" s="1"/>
  <c r="H267" i="20"/>
  <c r="G267" i="20"/>
  <c r="F267" i="20"/>
  <c r="E267" i="20"/>
  <c r="D267" i="20"/>
  <c r="C267" i="20"/>
  <c r="B267" i="20"/>
  <c r="F266" i="20"/>
  <c r="J266" i="20"/>
  <c r="I266" i="20"/>
  <c r="K266" i="20" s="1"/>
  <c r="H266" i="20"/>
  <c r="G266" i="20"/>
  <c r="M266" i="20"/>
  <c r="Q266" i="20" s="1"/>
  <c r="S266" i="20" s="1"/>
  <c r="E266" i="20"/>
  <c r="D266" i="20"/>
  <c r="C266" i="20"/>
  <c r="B266" i="20"/>
  <c r="M265" i="20"/>
  <c r="Q265" i="20" s="1"/>
  <c r="S265" i="20" s="1"/>
  <c r="J265" i="20"/>
  <c r="I265" i="20"/>
  <c r="K265" i="20" s="1"/>
  <c r="H265" i="20"/>
  <c r="G265" i="20"/>
  <c r="F265" i="20"/>
  <c r="E265" i="20"/>
  <c r="D265" i="20"/>
  <c r="C265" i="20"/>
  <c r="B265" i="20"/>
  <c r="M264" i="20"/>
  <c r="Q264" i="20" s="1"/>
  <c r="S264" i="20" s="1"/>
  <c r="J264" i="20"/>
  <c r="I264" i="20"/>
  <c r="K264" i="20" s="1"/>
  <c r="H264" i="20"/>
  <c r="G264" i="20"/>
  <c r="F264" i="20"/>
  <c r="E264" i="20"/>
  <c r="D264" i="20"/>
  <c r="C264" i="20"/>
  <c r="B264" i="20"/>
  <c r="M263" i="20"/>
  <c r="Q263" i="20" s="1"/>
  <c r="S263" i="20" s="1"/>
  <c r="J263" i="20"/>
  <c r="I263" i="20"/>
  <c r="K263" i="20" s="1"/>
  <c r="H263" i="20"/>
  <c r="G263" i="20"/>
  <c r="F263" i="20"/>
  <c r="E263" i="20"/>
  <c r="D263" i="20"/>
  <c r="C263" i="20"/>
  <c r="B263" i="20"/>
  <c r="F262" i="20"/>
  <c r="J262" i="20"/>
  <c r="I262" i="20"/>
  <c r="K262" i="20" s="1"/>
  <c r="H262" i="20"/>
  <c r="G262" i="20"/>
  <c r="M262" i="20"/>
  <c r="Q262" i="20" s="1"/>
  <c r="S262" i="20" s="1"/>
  <c r="E262" i="20"/>
  <c r="D262" i="20"/>
  <c r="C262" i="20"/>
  <c r="B262" i="20"/>
  <c r="M261" i="20"/>
  <c r="Q261" i="20" s="1"/>
  <c r="S261" i="20" s="1"/>
  <c r="J261" i="20"/>
  <c r="I261" i="20"/>
  <c r="K261" i="20" s="1"/>
  <c r="H261" i="20"/>
  <c r="G261" i="20"/>
  <c r="F261" i="20"/>
  <c r="E261" i="20"/>
  <c r="D261" i="20"/>
  <c r="C261" i="20"/>
  <c r="B261" i="20"/>
  <c r="M260" i="20"/>
  <c r="Q260" i="20" s="1"/>
  <c r="S260" i="20" s="1"/>
  <c r="J260" i="20"/>
  <c r="I260" i="20"/>
  <c r="K260" i="20" s="1"/>
  <c r="H260" i="20"/>
  <c r="G260" i="20"/>
  <c r="F260" i="20"/>
  <c r="E260" i="20"/>
  <c r="D260" i="20"/>
  <c r="C260" i="20"/>
  <c r="B260" i="20"/>
  <c r="M259" i="20"/>
  <c r="Q259" i="20" s="1"/>
  <c r="S259" i="20" s="1"/>
  <c r="J259" i="20"/>
  <c r="I259" i="20"/>
  <c r="K259" i="20" s="1"/>
  <c r="H259" i="20"/>
  <c r="G259" i="20"/>
  <c r="F259" i="20"/>
  <c r="E259" i="20"/>
  <c r="D259" i="20"/>
  <c r="C259" i="20"/>
  <c r="B259" i="20"/>
  <c r="M258" i="20"/>
  <c r="Q258" i="20" s="1"/>
  <c r="S258" i="20" s="1"/>
  <c r="J258" i="20"/>
  <c r="I258" i="20"/>
  <c r="K258" i="20" s="1"/>
  <c r="H258" i="20"/>
  <c r="G258" i="20"/>
  <c r="F258" i="20"/>
  <c r="E258" i="20"/>
  <c r="D258" i="20"/>
  <c r="C258" i="20"/>
  <c r="B258" i="20"/>
  <c r="M257" i="20"/>
  <c r="Q257" i="20" s="1"/>
  <c r="S257" i="20" s="1"/>
  <c r="J257" i="20"/>
  <c r="I257" i="20"/>
  <c r="K257" i="20" s="1"/>
  <c r="H257" i="20"/>
  <c r="G257" i="20"/>
  <c r="F257" i="20"/>
  <c r="E257" i="20"/>
  <c r="D257" i="20"/>
  <c r="C257" i="20"/>
  <c r="B257" i="20"/>
  <c r="M256" i="20"/>
  <c r="Q256" i="20" s="1"/>
  <c r="S256" i="20" s="1"/>
  <c r="J256" i="20"/>
  <c r="I256" i="20"/>
  <c r="K256" i="20" s="1"/>
  <c r="H256" i="20"/>
  <c r="G256" i="20"/>
  <c r="F256" i="20"/>
  <c r="E256" i="20"/>
  <c r="D256" i="20"/>
  <c r="C256" i="20"/>
  <c r="B256" i="20"/>
  <c r="M255" i="20"/>
  <c r="Q255" i="20" s="1"/>
  <c r="S255" i="20" s="1"/>
  <c r="J255" i="20"/>
  <c r="I255" i="20"/>
  <c r="K255" i="20" s="1"/>
  <c r="H255" i="20"/>
  <c r="G255" i="20"/>
  <c r="F255" i="20"/>
  <c r="E255" i="20"/>
  <c r="D255" i="20"/>
  <c r="C255" i="20"/>
  <c r="B255" i="20"/>
  <c r="B254" i="20"/>
  <c r="I254" i="20"/>
  <c r="K254" i="20" s="1"/>
  <c r="H254" i="20"/>
  <c r="G254" i="20"/>
  <c r="F254" i="20"/>
  <c r="E254" i="20"/>
  <c r="D254" i="20"/>
  <c r="C254" i="20"/>
  <c r="J254" i="20"/>
  <c r="M254" i="20"/>
  <c r="Q254" i="20" s="1"/>
  <c r="S254" i="20" s="1"/>
  <c r="F253" i="20"/>
  <c r="B253" i="20"/>
  <c r="C253" i="20"/>
  <c r="D253" i="20"/>
  <c r="E253" i="20"/>
  <c r="I252" i="20"/>
  <c r="K252" i="20" s="1"/>
  <c r="G252" i="20"/>
  <c r="H252" i="20"/>
  <c r="F252" i="20"/>
  <c r="E252" i="20"/>
  <c r="D252" i="20"/>
  <c r="C252" i="20"/>
  <c r="B252" i="20"/>
  <c r="M252" i="20"/>
  <c r="Q252" i="20" s="1"/>
  <c r="S252" i="20" s="1"/>
  <c r="J252" i="20"/>
  <c r="I251" i="20"/>
  <c r="K251" i="20" s="1"/>
  <c r="H251" i="20"/>
  <c r="G251" i="20"/>
  <c r="F251" i="20"/>
  <c r="E251" i="20"/>
  <c r="D251" i="20"/>
  <c r="C251" i="20"/>
  <c r="B251" i="20"/>
  <c r="M251" i="20"/>
  <c r="Q251" i="20" s="1"/>
  <c r="S251" i="20" s="1"/>
  <c r="J251" i="20"/>
  <c r="I250" i="20"/>
  <c r="K250" i="20" s="1"/>
  <c r="H250" i="20"/>
  <c r="G250" i="20"/>
  <c r="F250" i="20"/>
  <c r="E250" i="20"/>
  <c r="D250" i="20"/>
  <c r="C250" i="20"/>
  <c r="B250" i="20"/>
  <c r="M250" i="20"/>
  <c r="Q250" i="20" s="1"/>
  <c r="S250" i="20" s="1"/>
  <c r="J250" i="20"/>
  <c r="I249" i="20"/>
  <c r="K249" i="20" s="1"/>
  <c r="H249" i="20"/>
  <c r="G249" i="20"/>
  <c r="F249" i="20"/>
  <c r="E249" i="20"/>
  <c r="D249" i="20"/>
  <c r="C249" i="20"/>
  <c r="B249" i="20"/>
  <c r="M249" i="20"/>
  <c r="Q249" i="20" s="1"/>
  <c r="S249" i="20" s="1"/>
  <c r="J249" i="20"/>
  <c r="I248" i="20"/>
  <c r="K248" i="20" s="1"/>
  <c r="H248" i="20"/>
  <c r="G248" i="20"/>
  <c r="F248" i="20"/>
  <c r="E248" i="20"/>
  <c r="D248" i="20"/>
  <c r="C248" i="20"/>
  <c r="B248" i="20"/>
  <c r="M248" i="20"/>
  <c r="Q248" i="20" s="1"/>
  <c r="S248" i="20" s="1"/>
  <c r="J248" i="20"/>
  <c r="I247" i="20"/>
  <c r="K247" i="20" s="1"/>
  <c r="H247" i="20"/>
  <c r="G247" i="20"/>
  <c r="F247" i="20"/>
  <c r="E247" i="20"/>
  <c r="D247" i="20"/>
  <c r="C247" i="20"/>
  <c r="B247" i="20"/>
  <c r="M247" i="20"/>
  <c r="Q247" i="20" s="1"/>
  <c r="S247" i="20" s="1"/>
  <c r="J247" i="20"/>
  <c r="M246" i="20"/>
  <c r="Q246" i="20" s="1"/>
  <c r="S246" i="20" s="1"/>
  <c r="J246" i="20"/>
  <c r="I246" i="20"/>
  <c r="K246" i="20" s="1"/>
  <c r="H246" i="20"/>
  <c r="G246" i="20"/>
  <c r="F246" i="20"/>
  <c r="E246" i="20"/>
  <c r="D246" i="20"/>
  <c r="C246" i="20"/>
  <c r="B246" i="20"/>
  <c r="I245" i="20"/>
  <c r="K245" i="20" s="1"/>
  <c r="B245" i="20"/>
  <c r="C245" i="20"/>
  <c r="D245" i="20"/>
  <c r="E245" i="20"/>
  <c r="F245" i="20"/>
  <c r="G245" i="20"/>
  <c r="H245" i="20"/>
  <c r="M245" i="20"/>
  <c r="Q245" i="20" s="1"/>
  <c r="S245" i="20" s="1"/>
  <c r="J245" i="20"/>
  <c r="I244" i="20"/>
  <c r="K244" i="20" s="1"/>
  <c r="H244" i="20"/>
  <c r="G244" i="20"/>
  <c r="F244" i="20"/>
  <c r="E244" i="20"/>
  <c r="D244" i="20"/>
  <c r="C244" i="20"/>
  <c r="B244" i="20"/>
  <c r="M244" i="20"/>
  <c r="Q244" i="20" s="1"/>
  <c r="S244" i="20" s="1"/>
  <c r="J244" i="20"/>
  <c r="I243" i="20"/>
  <c r="K243" i="20" s="1"/>
  <c r="H243" i="20"/>
  <c r="G243" i="20"/>
  <c r="F243" i="20"/>
  <c r="E243" i="20"/>
  <c r="D243" i="20"/>
  <c r="C243" i="20"/>
  <c r="B243" i="20"/>
  <c r="M243" i="20"/>
  <c r="Q243" i="20" s="1"/>
  <c r="S243" i="20" s="1"/>
  <c r="J243" i="20"/>
  <c r="I242" i="20"/>
  <c r="K242" i="20" s="1"/>
  <c r="H242" i="20"/>
  <c r="G242" i="20"/>
  <c r="F242" i="20"/>
  <c r="E242" i="20"/>
  <c r="D242" i="20"/>
  <c r="C242" i="20"/>
  <c r="B242" i="20"/>
  <c r="M242" i="20"/>
  <c r="Q242" i="20" s="1"/>
  <c r="S242" i="20" s="1"/>
  <c r="J242" i="20"/>
  <c r="I241" i="20"/>
  <c r="K241" i="20" s="1"/>
  <c r="H241" i="20"/>
  <c r="G241" i="20"/>
  <c r="F241" i="20"/>
  <c r="E241" i="20"/>
  <c r="D241" i="20"/>
  <c r="C241" i="20"/>
  <c r="B241" i="20"/>
  <c r="M241" i="20"/>
  <c r="Q241" i="20" s="1"/>
  <c r="S241" i="20" s="1"/>
  <c r="J241" i="20"/>
  <c r="I240" i="20"/>
  <c r="K240" i="20" s="1"/>
  <c r="H240" i="20"/>
  <c r="G240" i="20"/>
  <c r="F240" i="20"/>
  <c r="E240" i="20"/>
  <c r="D240" i="20"/>
  <c r="C240" i="20"/>
  <c r="B240" i="20"/>
  <c r="M240" i="20"/>
  <c r="Q240" i="20" s="1"/>
  <c r="S240" i="20" s="1"/>
  <c r="J240" i="20"/>
  <c r="I239" i="20"/>
  <c r="K239" i="20" s="1"/>
  <c r="H239" i="20"/>
  <c r="G239" i="20"/>
  <c r="F239" i="20"/>
  <c r="E239" i="20"/>
  <c r="D239" i="20"/>
  <c r="C239" i="20"/>
  <c r="B239" i="20"/>
  <c r="M239" i="20"/>
  <c r="Q239" i="20" s="1"/>
  <c r="S239" i="20" s="1"/>
  <c r="J239" i="20"/>
  <c r="H238" i="20"/>
  <c r="I238" i="20"/>
  <c r="K238" i="20" s="1"/>
  <c r="B238" i="20"/>
  <c r="C238" i="20"/>
  <c r="D238" i="20"/>
  <c r="E238" i="20"/>
  <c r="F238" i="20"/>
  <c r="G238" i="20"/>
  <c r="M238" i="20"/>
  <c r="Q238" i="20" s="1"/>
  <c r="S238" i="20" s="1"/>
  <c r="J238" i="20"/>
  <c r="E237" i="20"/>
  <c r="D237" i="20"/>
  <c r="C237" i="20"/>
  <c r="B237" i="20"/>
  <c r="B236" i="20"/>
  <c r="C236" i="20"/>
  <c r="D236" i="20"/>
  <c r="E236" i="20"/>
  <c r="L236" i="20" s="1"/>
  <c r="E235" i="20"/>
  <c r="L235" i="20" s="1"/>
  <c r="D235" i="20"/>
  <c r="C235" i="20"/>
  <c r="B235" i="20"/>
  <c r="E234" i="20"/>
  <c r="D234" i="20"/>
  <c r="C234" i="20"/>
  <c r="B234" i="20"/>
  <c r="E233" i="20"/>
  <c r="D233" i="20"/>
  <c r="C233" i="20"/>
  <c r="B233" i="20"/>
  <c r="E232" i="20"/>
  <c r="D232" i="20"/>
  <c r="C232" i="20"/>
  <c r="B232" i="20"/>
  <c r="D231" i="20"/>
  <c r="B231" i="20"/>
  <c r="C231" i="20"/>
  <c r="E231" i="20"/>
  <c r="E230" i="20"/>
  <c r="D230" i="20"/>
  <c r="C230" i="20"/>
  <c r="B230" i="20"/>
  <c r="B229" i="20"/>
  <c r="C229" i="20"/>
  <c r="D229" i="20"/>
  <c r="E229" i="20"/>
  <c r="E228" i="20"/>
  <c r="D228" i="20"/>
  <c r="C228" i="20"/>
  <c r="B228" i="20"/>
  <c r="E227" i="20"/>
  <c r="L227" i="20" s="1"/>
  <c r="D227" i="20"/>
  <c r="C227" i="20"/>
  <c r="B227" i="20"/>
  <c r="E226" i="20"/>
  <c r="D226" i="20"/>
  <c r="C226" i="20"/>
  <c r="B226" i="20"/>
  <c r="E225" i="20"/>
  <c r="L225" i="20" s="1"/>
  <c r="D225" i="20"/>
  <c r="C225" i="20"/>
  <c r="B225" i="20"/>
  <c r="E224" i="20"/>
  <c r="L224" i="20" s="1"/>
  <c r="D224" i="20"/>
  <c r="C224" i="20"/>
  <c r="B224" i="20"/>
  <c r="B223" i="20"/>
  <c r="C223" i="20"/>
  <c r="D223" i="20"/>
  <c r="E223" i="20"/>
  <c r="E222" i="20"/>
  <c r="D222" i="20"/>
  <c r="B222" i="20"/>
  <c r="C222" i="20"/>
  <c r="E221" i="20"/>
  <c r="D221" i="20"/>
  <c r="C221" i="20"/>
  <c r="B221" i="20"/>
  <c r="B220" i="20"/>
  <c r="C220" i="20"/>
  <c r="D220" i="20"/>
  <c r="E220" i="20"/>
  <c r="E219" i="20"/>
  <c r="D219" i="20"/>
  <c r="C219" i="20"/>
  <c r="B219" i="20"/>
  <c r="E218" i="20"/>
  <c r="D218" i="20"/>
  <c r="C218" i="20"/>
  <c r="B218" i="20"/>
  <c r="E217" i="20"/>
  <c r="D217" i="20"/>
  <c r="C217" i="20"/>
  <c r="B217" i="20"/>
  <c r="E216" i="20"/>
  <c r="D216" i="20"/>
  <c r="C216" i="20"/>
  <c r="B216" i="20"/>
  <c r="E215" i="20"/>
  <c r="D215" i="20"/>
  <c r="C215" i="20"/>
  <c r="B215" i="20"/>
  <c r="C214" i="20"/>
  <c r="E214" i="20"/>
  <c r="D214" i="20"/>
  <c r="B214" i="20"/>
  <c r="B213" i="20"/>
  <c r="C213" i="20"/>
  <c r="D213" i="20"/>
  <c r="E213" i="20"/>
  <c r="E212" i="20"/>
  <c r="D212" i="20"/>
  <c r="C212" i="20"/>
  <c r="B212" i="20"/>
  <c r="E211" i="20"/>
  <c r="D211" i="20"/>
  <c r="C211" i="20"/>
  <c r="B211" i="20"/>
  <c r="E210" i="20"/>
  <c r="D210" i="20"/>
  <c r="C210" i="20"/>
  <c r="B210" i="20"/>
  <c r="E209" i="20"/>
  <c r="D209" i="20"/>
  <c r="C209" i="20"/>
  <c r="B209" i="20"/>
  <c r="E208" i="20"/>
  <c r="D208" i="20"/>
  <c r="C208" i="20"/>
  <c r="B208" i="20"/>
  <c r="E207" i="20"/>
  <c r="D207" i="20"/>
  <c r="C207" i="20"/>
  <c r="B207" i="20"/>
  <c r="B206" i="20"/>
  <c r="C206" i="20"/>
  <c r="D206" i="20"/>
  <c r="E206" i="20"/>
  <c r="B205" i="20"/>
  <c r="C205" i="20"/>
  <c r="D205" i="20"/>
  <c r="E205" i="20"/>
  <c r="B204" i="20"/>
  <c r="C204" i="20"/>
  <c r="D204" i="20"/>
  <c r="E204" i="20"/>
  <c r="E203" i="20"/>
  <c r="D203" i="20"/>
  <c r="C203" i="20"/>
  <c r="B203" i="20"/>
  <c r="B202" i="20"/>
  <c r="C202" i="20"/>
  <c r="D202" i="20"/>
  <c r="E202" i="20"/>
  <c r="E201" i="20"/>
  <c r="D201" i="20"/>
  <c r="C201" i="20"/>
  <c r="B201" i="20"/>
  <c r="E200" i="20"/>
  <c r="D200" i="20"/>
  <c r="C200" i="20"/>
  <c r="B200" i="20"/>
  <c r="E199" i="20"/>
  <c r="D199" i="20"/>
  <c r="C199" i="20"/>
  <c r="B199" i="20"/>
  <c r="D198" i="20"/>
  <c r="B198" i="20"/>
  <c r="C198" i="20"/>
  <c r="E198" i="20"/>
  <c r="E197" i="20"/>
  <c r="D197" i="20"/>
  <c r="C197" i="20"/>
  <c r="B197" i="20"/>
  <c r="B196" i="20"/>
  <c r="C196" i="20"/>
  <c r="D196" i="20"/>
  <c r="E196" i="20"/>
  <c r="E195" i="20"/>
  <c r="D195" i="20"/>
  <c r="C195" i="20"/>
  <c r="B195" i="20"/>
  <c r="E194" i="20"/>
  <c r="D194" i="20"/>
  <c r="C194" i="20"/>
  <c r="B194" i="20"/>
  <c r="E193" i="20"/>
  <c r="D193" i="20"/>
  <c r="C193" i="20"/>
  <c r="B193" i="20"/>
  <c r="E192" i="20"/>
  <c r="D192" i="20"/>
  <c r="C192" i="20"/>
  <c r="B192" i="20"/>
  <c r="B191" i="20"/>
  <c r="C191" i="20"/>
  <c r="D191" i="20"/>
  <c r="E191" i="20"/>
  <c r="E190" i="20"/>
  <c r="D190" i="20"/>
  <c r="B190" i="20"/>
  <c r="C190" i="20"/>
  <c r="E189" i="20"/>
  <c r="D189" i="20"/>
  <c r="C189" i="20"/>
  <c r="B189" i="20"/>
  <c r="B188" i="20"/>
  <c r="C188" i="20"/>
  <c r="D188" i="20"/>
  <c r="E188" i="20"/>
  <c r="E187" i="20"/>
  <c r="D187" i="20"/>
  <c r="C187" i="20"/>
  <c r="B187" i="20"/>
  <c r="E186" i="20"/>
  <c r="D186" i="20"/>
  <c r="C186" i="20"/>
  <c r="B186" i="20"/>
  <c r="E185" i="20"/>
  <c r="D185" i="20"/>
  <c r="C185" i="20"/>
  <c r="B185" i="20"/>
  <c r="E184" i="20"/>
  <c r="D184" i="20"/>
  <c r="C184" i="20"/>
  <c r="B184" i="20"/>
  <c r="C183" i="20"/>
  <c r="E183" i="20"/>
  <c r="D183" i="20"/>
  <c r="B183" i="20"/>
  <c r="B182" i="20"/>
  <c r="C182" i="20"/>
  <c r="D182" i="20"/>
  <c r="E182" i="20"/>
  <c r="E181" i="20"/>
  <c r="D181" i="20"/>
  <c r="C181" i="20"/>
  <c r="B181" i="20"/>
  <c r="E180" i="20"/>
  <c r="D180" i="20"/>
  <c r="C180" i="20"/>
  <c r="B180" i="20"/>
  <c r="E179" i="20"/>
  <c r="D179" i="20"/>
  <c r="C179" i="20"/>
  <c r="B179" i="20"/>
  <c r="E178" i="20"/>
  <c r="D178" i="20"/>
  <c r="C178" i="20"/>
  <c r="B178" i="20"/>
  <c r="E177" i="20"/>
  <c r="D177" i="20"/>
  <c r="C177" i="20"/>
  <c r="B177" i="20"/>
  <c r="G176" i="20"/>
  <c r="H176" i="20"/>
  <c r="B176" i="20"/>
  <c r="I176" i="20"/>
  <c r="K176" i="20" s="1"/>
  <c r="C176" i="20"/>
  <c r="D176" i="20"/>
  <c r="E176" i="20"/>
  <c r="M176" i="20"/>
  <c r="Q176" i="20" s="1"/>
  <c r="S176" i="20" s="1"/>
  <c r="J176" i="20"/>
  <c r="G175" i="20"/>
  <c r="H175" i="20"/>
  <c r="B175" i="20"/>
  <c r="C175" i="20"/>
  <c r="I175" i="20"/>
  <c r="K175" i="20" s="1"/>
  <c r="D175" i="20"/>
  <c r="E175" i="20"/>
  <c r="M175" i="20"/>
  <c r="Q175" i="20" s="1"/>
  <c r="S175" i="20" s="1"/>
  <c r="J175" i="20"/>
  <c r="J174" i="20"/>
  <c r="I174" i="20"/>
  <c r="K174" i="20" s="1"/>
  <c r="E174" i="20"/>
  <c r="D174" i="20"/>
  <c r="C174" i="20"/>
  <c r="B174" i="20"/>
  <c r="H174" i="20"/>
  <c r="M174" i="20"/>
  <c r="Q174" i="20" s="1"/>
  <c r="S174" i="20" s="1"/>
  <c r="G174" i="20"/>
  <c r="H173" i="20"/>
  <c r="I173" i="20"/>
  <c r="K173" i="20" s="1"/>
  <c r="J173" i="20"/>
  <c r="B173" i="20"/>
  <c r="C173" i="20"/>
  <c r="D173" i="20"/>
  <c r="E173" i="20"/>
  <c r="M173" i="20"/>
  <c r="Q173" i="20" s="1"/>
  <c r="S173" i="20" s="1"/>
  <c r="G173" i="20"/>
  <c r="D172" i="20"/>
  <c r="B172" i="20"/>
  <c r="C172" i="20"/>
  <c r="J172" i="20"/>
  <c r="I172" i="20"/>
  <c r="K172" i="20" s="1"/>
  <c r="H172" i="20"/>
  <c r="G172" i="20"/>
  <c r="E172" i="20"/>
  <c r="H171" i="20"/>
  <c r="G171" i="20"/>
  <c r="E171" i="20"/>
  <c r="D171" i="20"/>
  <c r="C171" i="20"/>
  <c r="B171" i="20"/>
  <c r="I171" i="20"/>
  <c r="K171" i="20" s="1"/>
  <c r="J171" i="20"/>
  <c r="M171" i="20"/>
  <c r="Q171" i="20" s="1"/>
  <c r="S171" i="20" s="1"/>
  <c r="D170" i="20"/>
  <c r="C170" i="20"/>
  <c r="B170" i="20"/>
  <c r="M170" i="20"/>
  <c r="Q170" i="20" s="1"/>
  <c r="S170" i="20" s="1"/>
  <c r="J170" i="20"/>
  <c r="I170" i="20"/>
  <c r="K170" i="20" s="1"/>
  <c r="H170" i="20"/>
  <c r="G170" i="20"/>
  <c r="E170" i="20"/>
  <c r="M169" i="20"/>
  <c r="Q169" i="20" s="1"/>
  <c r="S169" i="20" s="1"/>
  <c r="J169" i="20"/>
  <c r="I169" i="20"/>
  <c r="K169" i="20" s="1"/>
  <c r="H169" i="20"/>
  <c r="G169" i="20"/>
  <c r="E169" i="20"/>
  <c r="D169" i="20"/>
  <c r="C169" i="20"/>
  <c r="B169" i="20"/>
  <c r="D168" i="20"/>
  <c r="C168" i="20"/>
  <c r="B168" i="20"/>
  <c r="M168" i="20"/>
  <c r="Q168" i="20" s="1"/>
  <c r="S168" i="20" s="1"/>
  <c r="J168" i="20"/>
  <c r="I168" i="20"/>
  <c r="K168" i="20" s="1"/>
  <c r="H168" i="20"/>
  <c r="G168" i="20"/>
  <c r="E168" i="20"/>
  <c r="M167" i="20"/>
  <c r="Q167" i="20" s="1"/>
  <c r="S167" i="20" s="1"/>
  <c r="J167" i="20"/>
  <c r="I167" i="20"/>
  <c r="K167" i="20" s="1"/>
  <c r="H167" i="20"/>
  <c r="G167" i="20"/>
  <c r="E167" i="20"/>
  <c r="D167" i="20"/>
  <c r="C167" i="20"/>
  <c r="B167" i="20"/>
  <c r="D166" i="20"/>
  <c r="C166" i="20"/>
  <c r="B166" i="20"/>
  <c r="M166" i="20"/>
  <c r="Q166" i="20" s="1"/>
  <c r="S166" i="20" s="1"/>
  <c r="J166" i="20"/>
  <c r="I166" i="20"/>
  <c r="K166" i="20" s="1"/>
  <c r="H166" i="20"/>
  <c r="G166" i="20"/>
  <c r="E166" i="20"/>
  <c r="M165" i="20"/>
  <c r="Q165" i="20" s="1"/>
  <c r="S165" i="20" s="1"/>
  <c r="J165" i="20"/>
  <c r="I165" i="20"/>
  <c r="K165" i="20" s="1"/>
  <c r="H165" i="20"/>
  <c r="G165" i="20"/>
  <c r="E165" i="20"/>
  <c r="D165" i="20"/>
  <c r="C165" i="20"/>
  <c r="B165" i="20"/>
  <c r="D164" i="20"/>
  <c r="C164" i="20"/>
  <c r="B164" i="20"/>
  <c r="M164" i="20"/>
  <c r="Q164" i="20" s="1"/>
  <c r="S164" i="20" s="1"/>
  <c r="J164" i="20"/>
  <c r="I164" i="20"/>
  <c r="K164" i="20" s="1"/>
  <c r="H164" i="20"/>
  <c r="G164" i="20"/>
  <c r="E164" i="20"/>
  <c r="M163" i="20"/>
  <c r="Q163" i="20" s="1"/>
  <c r="S163" i="20" s="1"/>
  <c r="J163" i="20"/>
  <c r="I163" i="20"/>
  <c r="K163" i="20" s="1"/>
  <c r="H163" i="20"/>
  <c r="G163" i="20"/>
  <c r="E163" i="20"/>
  <c r="D163" i="20"/>
  <c r="C163" i="20"/>
  <c r="B163" i="20"/>
  <c r="D162" i="20"/>
  <c r="C162" i="20"/>
  <c r="B162" i="20"/>
  <c r="M162" i="20"/>
  <c r="Q162" i="20" s="1"/>
  <c r="S162" i="20" s="1"/>
  <c r="J162" i="20"/>
  <c r="I162" i="20"/>
  <c r="K162" i="20" s="1"/>
  <c r="H162" i="20"/>
  <c r="G162" i="20"/>
  <c r="E162" i="20"/>
  <c r="E161" i="20"/>
  <c r="D161" i="20"/>
  <c r="C161" i="20"/>
  <c r="B161" i="20"/>
  <c r="B160" i="20"/>
  <c r="D160" i="20"/>
  <c r="C160" i="20"/>
  <c r="E160" i="20"/>
  <c r="L160" i="20" s="1"/>
  <c r="B159" i="20"/>
  <c r="C159" i="20"/>
  <c r="D159" i="20"/>
  <c r="E159" i="20"/>
  <c r="D158" i="20"/>
  <c r="B158" i="20"/>
  <c r="C158" i="20"/>
  <c r="E158" i="20"/>
  <c r="E157" i="20"/>
  <c r="D157" i="20"/>
  <c r="C157" i="20"/>
  <c r="B157" i="20"/>
  <c r="D156" i="20"/>
  <c r="C156" i="20"/>
  <c r="B156" i="20"/>
  <c r="E156" i="20"/>
  <c r="E155" i="20"/>
  <c r="D155" i="20"/>
  <c r="C155" i="20"/>
  <c r="B155" i="20"/>
  <c r="B154" i="20"/>
  <c r="C154" i="20"/>
  <c r="D154" i="20"/>
  <c r="E154" i="20"/>
  <c r="D153" i="20"/>
  <c r="B153" i="20"/>
  <c r="C153" i="20"/>
  <c r="E153" i="20"/>
  <c r="E152" i="20"/>
  <c r="D152" i="20"/>
  <c r="C152" i="20"/>
  <c r="B152" i="20"/>
  <c r="D151" i="20"/>
  <c r="C151" i="20"/>
  <c r="B151" i="20"/>
  <c r="E151" i="20"/>
  <c r="E150" i="20"/>
  <c r="D150" i="20"/>
  <c r="C150" i="20"/>
  <c r="B150" i="20"/>
  <c r="E149" i="20"/>
  <c r="C149" i="20"/>
  <c r="B149" i="20"/>
  <c r="D149" i="20"/>
  <c r="B148" i="20"/>
  <c r="C148" i="20"/>
  <c r="D148" i="20"/>
  <c r="E148" i="20"/>
  <c r="B147" i="20"/>
  <c r="C147" i="20"/>
  <c r="D147" i="20"/>
  <c r="E147" i="20"/>
  <c r="B146" i="20"/>
  <c r="C146" i="20"/>
  <c r="D146" i="20"/>
  <c r="E146" i="20"/>
  <c r="D145" i="20"/>
  <c r="C145" i="20"/>
  <c r="B145" i="20"/>
  <c r="E145" i="20"/>
  <c r="B144" i="20"/>
  <c r="C144" i="20"/>
  <c r="D144" i="20"/>
  <c r="E144" i="20"/>
  <c r="D143" i="20"/>
  <c r="C143" i="20"/>
  <c r="B143" i="20"/>
  <c r="E143" i="20"/>
  <c r="E142" i="20"/>
  <c r="D142" i="20"/>
  <c r="C142" i="20"/>
  <c r="B142" i="20"/>
  <c r="C141" i="20"/>
  <c r="D141" i="20"/>
  <c r="E141" i="20"/>
  <c r="B141" i="20"/>
  <c r="E140" i="20"/>
  <c r="D140" i="20"/>
  <c r="C140" i="20"/>
  <c r="B140" i="20"/>
  <c r="D139" i="20"/>
  <c r="B139" i="20"/>
  <c r="C139" i="20"/>
  <c r="E139" i="20"/>
  <c r="B138" i="20"/>
  <c r="C138" i="20"/>
  <c r="D138" i="20"/>
  <c r="E138" i="20"/>
  <c r="D137" i="20"/>
  <c r="C137" i="20"/>
  <c r="B137" i="20"/>
  <c r="E137" i="20"/>
  <c r="E136" i="20"/>
  <c r="D136" i="20"/>
  <c r="C136" i="20"/>
  <c r="B136" i="20"/>
  <c r="D135" i="20"/>
  <c r="C135" i="20"/>
  <c r="B135" i="20"/>
  <c r="E135" i="20"/>
  <c r="D134" i="20"/>
  <c r="B134" i="20"/>
  <c r="C134" i="20"/>
  <c r="E134" i="20"/>
  <c r="D133" i="20"/>
  <c r="B133" i="20"/>
  <c r="C133" i="20"/>
  <c r="E133" i="20"/>
  <c r="E132" i="20"/>
  <c r="D132" i="20"/>
  <c r="C132" i="20"/>
  <c r="B132" i="20"/>
  <c r="D131" i="20"/>
  <c r="C131" i="20"/>
  <c r="B131" i="20"/>
  <c r="E131" i="20"/>
  <c r="E130" i="20"/>
  <c r="D130" i="20"/>
  <c r="C130" i="20"/>
  <c r="B130" i="20"/>
  <c r="D129" i="20"/>
  <c r="C129" i="20"/>
  <c r="B129" i="20"/>
  <c r="E129" i="20"/>
  <c r="E128" i="20"/>
  <c r="D128" i="20"/>
  <c r="C128" i="20"/>
  <c r="B128" i="20"/>
  <c r="D127" i="20"/>
  <c r="C127" i="20"/>
  <c r="B127" i="20"/>
  <c r="E127" i="20"/>
  <c r="E126" i="20"/>
  <c r="D126" i="20"/>
  <c r="C126" i="20"/>
  <c r="B126" i="20"/>
  <c r="D125" i="20"/>
  <c r="B125" i="20"/>
  <c r="C125" i="20"/>
  <c r="E125" i="20"/>
  <c r="B124" i="20"/>
  <c r="C124" i="20"/>
  <c r="D124" i="20"/>
  <c r="E124" i="20"/>
  <c r="D123" i="20"/>
  <c r="C123" i="20"/>
  <c r="B123" i="20"/>
  <c r="E123" i="20"/>
  <c r="E122" i="20"/>
  <c r="D122" i="20"/>
  <c r="C122" i="20"/>
  <c r="B122" i="20"/>
  <c r="D121" i="20"/>
  <c r="C121" i="20"/>
  <c r="B121" i="20"/>
  <c r="E121" i="20"/>
  <c r="E120" i="20"/>
  <c r="D120" i="20"/>
  <c r="C120" i="20"/>
  <c r="B120" i="20"/>
  <c r="B119" i="20"/>
  <c r="C119" i="20"/>
  <c r="D119" i="20"/>
  <c r="E119" i="20"/>
  <c r="D118" i="20"/>
  <c r="B118" i="20"/>
  <c r="C118" i="20"/>
  <c r="E118" i="20"/>
  <c r="E117" i="20"/>
  <c r="D117" i="20"/>
  <c r="C117" i="20"/>
  <c r="B117" i="20"/>
  <c r="D116" i="20"/>
  <c r="C116" i="20"/>
  <c r="B116" i="20"/>
  <c r="E116" i="20"/>
  <c r="E115" i="20"/>
  <c r="D115" i="20"/>
  <c r="C115" i="20"/>
  <c r="B115" i="20"/>
  <c r="E114" i="20"/>
  <c r="C114" i="20"/>
  <c r="B114" i="20"/>
  <c r="D114" i="20"/>
  <c r="B113" i="20"/>
  <c r="C113" i="20"/>
  <c r="D113" i="20"/>
  <c r="E113" i="20"/>
  <c r="E112" i="20"/>
  <c r="C112" i="20"/>
  <c r="B112" i="20"/>
  <c r="D112" i="20"/>
  <c r="B111" i="20"/>
  <c r="C111" i="20"/>
  <c r="D111" i="20"/>
  <c r="E111" i="20"/>
  <c r="G111" i="20"/>
  <c r="H111" i="20"/>
  <c r="I111" i="20"/>
  <c r="K111" i="20" s="1"/>
  <c r="J111" i="20"/>
  <c r="M111" i="20"/>
  <c r="Q111" i="20" s="1"/>
  <c r="S111" i="20" s="1"/>
  <c r="D110" i="20"/>
  <c r="G110" i="20"/>
  <c r="C110" i="20"/>
  <c r="B110" i="20"/>
  <c r="M110" i="20"/>
  <c r="Q110" i="20" s="1"/>
  <c r="S110" i="20" s="1"/>
  <c r="J110" i="20"/>
  <c r="I110" i="20"/>
  <c r="K110" i="20" s="1"/>
  <c r="H110" i="20"/>
  <c r="E110" i="20"/>
  <c r="M109" i="20"/>
  <c r="Q109" i="20" s="1"/>
  <c r="S109" i="20" s="1"/>
  <c r="I109" i="20"/>
  <c r="K109" i="20" s="1"/>
  <c r="G109" i="20"/>
  <c r="E109" i="20"/>
  <c r="D109" i="20"/>
  <c r="C109" i="20"/>
  <c r="B109" i="20"/>
  <c r="H109" i="20"/>
  <c r="J109" i="20"/>
  <c r="H108" i="20"/>
  <c r="D108" i="20"/>
  <c r="J108" i="20"/>
  <c r="M108" i="20"/>
  <c r="Q108" i="20" s="1"/>
  <c r="S108" i="20" s="1"/>
  <c r="B108" i="20"/>
  <c r="I108" i="20"/>
  <c r="K108" i="20" s="1"/>
  <c r="C108" i="20"/>
  <c r="G108" i="20"/>
  <c r="E108" i="20"/>
  <c r="B107" i="20"/>
  <c r="C107" i="20"/>
  <c r="D107" i="20"/>
  <c r="E107" i="20"/>
  <c r="G107" i="20"/>
  <c r="H107" i="20"/>
  <c r="I107" i="20"/>
  <c r="K107" i="20" s="1"/>
  <c r="J107" i="20"/>
  <c r="M107" i="20"/>
  <c r="Q107" i="20" s="1"/>
  <c r="S107" i="20" s="1"/>
  <c r="D106" i="20"/>
  <c r="C106" i="20"/>
  <c r="B106" i="20"/>
  <c r="M106" i="20"/>
  <c r="Q106" i="20" s="1"/>
  <c r="S106" i="20" s="1"/>
  <c r="J106" i="20"/>
  <c r="I106" i="20"/>
  <c r="K106" i="20" s="1"/>
  <c r="H106" i="20"/>
  <c r="G106" i="20"/>
  <c r="E106" i="20"/>
  <c r="M105" i="20"/>
  <c r="Q105" i="20" s="1"/>
  <c r="S105" i="20" s="1"/>
  <c r="J105" i="20"/>
  <c r="H105" i="20"/>
  <c r="E105" i="20"/>
  <c r="D105" i="20"/>
  <c r="C105" i="20"/>
  <c r="B105" i="20"/>
  <c r="D104" i="20"/>
  <c r="C104" i="20"/>
  <c r="B104" i="20"/>
  <c r="M104" i="20"/>
  <c r="Q104" i="20" s="1"/>
  <c r="S104" i="20" s="1"/>
  <c r="J104" i="20"/>
  <c r="H104" i="20"/>
  <c r="E104" i="20"/>
  <c r="M103" i="20"/>
  <c r="Q103" i="20" s="1"/>
  <c r="S103" i="20" s="1"/>
  <c r="J103" i="20"/>
  <c r="H103" i="20"/>
  <c r="D103" i="20"/>
  <c r="B103" i="20"/>
  <c r="C103" i="20"/>
  <c r="E103" i="20"/>
  <c r="D102" i="20"/>
  <c r="B102" i="20"/>
  <c r="C102" i="20"/>
  <c r="M102" i="20"/>
  <c r="Q102" i="20" s="1"/>
  <c r="S102" i="20" s="1"/>
  <c r="J102" i="20"/>
  <c r="H102" i="20"/>
  <c r="E102" i="20"/>
  <c r="M101" i="20"/>
  <c r="Q101" i="20" s="1"/>
  <c r="S101" i="20" s="1"/>
  <c r="J101" i="20"/>
  <c r="H101" i="20"/>
  <c r="E101" i="20"/>
  <c r="D101" i="20"/>
  <c r="C101" i="20"/>
  <c r="B101" i="20"/>
  <c r="D100" i="20"/>
  <c r="C100" i="20"/>
  <c r="B100" i="20"/>
  <c r="M100" i="20"/>
  <c r="Q100" i="20" s="1"/>
  <c r="S100" i="20" s="1"/>
  <c r="J100" i="20"/>
  <c r="H100" i="20"/>
  <c r="E100" i="20"/>
  <c r="M99" i="20"/>
  <c r="Q99" i="20" s="1"/>
  <c r="S99" i="20" s="1"/>
  <c r="J99" i="20"/>
  <c r="H99" i="20"/>
  <c r="E99" i="20"/>
  <c r="D99" i="20"/>
  <c r="C99" i="20"/>
  <c r="B99" i="20"/>
  <c r="D98" i="20"/>
  <c r="C98" i="20"/>
  <c r="B98" i="20"/>
  <c r="M98" i="20"/>
  <c r="Q98" i="20" s="1"/>
  <c r="S98" i="20" s="1"/>
  <c r="J98" i="20"/>
  <c r="H98" i="20"/>
  <c r="E98" i="20"/>
  <c r="M97" i="20"/>
  <c r="Q97" i="20" s="1"/>
  <c r="S97" i="20" s="1"/>
  <c r="J97" i="20"/>
  <c r="H97" i="20"/>
  <c r="E97" i="20"/>
  <c r="D97" i="20"/>
  <c r="C97" i="20"/>
  <c r="B97" i="20"/>
  <c r="D96" i="20"/>
  <c r="C96" i="20"/>
  <c r="B96" i="20"/>
  <c r="M96" i="20"/>
  <c r="Q96" i="20" s="1"/>
  <c r="S96" i="20" s="1"/>
  <c r="J96" i="20"/>
  <c r="H96" i="20"/>
  <c r="E96" i="20"/>
  <c r="M95" i="20"/>
  <c r="Q95" i="20" s="1"/>
  <c r="S95" i="20" s="1"/>
  <c r="J95" i="20"/>
  <c r="H95" i="20"/>
  <c r="D95" i="20"/>
  <c r="B95" i="20"/>
  <c r="C95" i="20"/>
  <c r="E95" i="20"/>
  <c r="C94" i="20"/>
  <c r="D94" i="20"/>
  <c r="E94" i="20"/>
  <c r="M94" i="20"/>
  <c r="Q94" i="20" s="1"/>
  <c r="S94" i="20" s="1"/>
  <c r="J94" i="20"/>
  <c r="H94" i="20"/>
  <c r="B94" i="20"/>
  <c r="B93" i="20"/>
  <c r="C93" i="20"/>
  <c r="D93" i="20"/>
  <c r="E93" i="20"/>
  <c r="H93" i="20"/>
  <c r="J93" i="20"/>
  <c r="M93" i="20"/>
  <c r="Q93" i="20" s="1"/>
  <c r="S93" i="20" s="1"/>
  <c r="D92" i="20"/>
  <c r="C92" i="20"/>
  <c r="B92" i="20"/>
  <c r="M92" i="20"/>
  <c r="Q92" i="20" s="1"/>
  <c r="S92" i="20" s="1"/>
  <c r="J92" i="20"/>
  <c r="H92" i="20"/>
  <c r="E92" i="20"/>
  <c r="M91" i="20"/>
  <c r="Q91" i="20" s="1"/>
  <c r="S91" i="20" s="1"/>
  <c r="J91" i="20"/>
  <c r="H91" i="20"/>
  <c r="E91" i="20"/>
  <c r="D91" i="20"/>
  <c r="C91" i="20"/>
  <c r="B91" i="20"/>
  <c r="D90" i="20"/>
  <c r="C90" i="20"/>
  <c r="B90" i="20"/>
  <c r="M90" i="20"/>
  <c r="Q90" i="20" s="1"/>
  <c r="S90" i="20" s="1"/>
  <c r="J90" i="20"/>
  <c r="H90" i="20"/>
  <c r="E90" i="20"/>
  <c r="M89" i="20"/>
  <c r="Q89" i="20" s="1"/>
  <c r="S89" i="20" s="1"/>
  <c r="J89" i="20"/>
  <c r="H89" i="20"/>
  <c r="D89" i="20"/>
  <c r="B89" i="20"/>
  <c r="C89" i="20"/>
  <c r="E89" i="20"/>
  <c r="C88" i="20"/>
  <c r="D88" i="20"/>
  <c r="E88" i="20"/>
  <c r="M88" i="20"/>
  <c r="Q88" i="20" s="1"/>
  <c r="S88" i="20" s="1"/>
  <c r="J88" i="20"/>
  <c r="H88" i="20"/>
  <c r="B88" i="20"/>
  <c r="B87" i="20"/>
  <c r="C87" i="20"/>
  <c r="D87" i="20"/>
  <c r="E87" i="20"/>
  <c r="L87" i="20" s="1"/>
  <c r="H87" i="20"/>
  <c r="J87" i="20"/>
  <c r="M87" i="20"/>
  <c r="Q87" i="20" s="1"/>
  <c r="S87" i="20" s="1"/>
  <c r="D86" i="20"/>
  <c r="C86" i="20"/>
  <c r="B86" i="20"/>
  <c r="M86" i="20"/>
  <c r="Q86" i="20" s="1"/>
  <c r="S86" i="20" s="1"/>
  <c r="J86" i="20"/>
  <c r="H86" i="20"/>
  <c r="E86" i="20"/>
  <c r="M85" i="20"/>
  <c r="Q85" i="20" s="1"/>
  <c r="S85" i="20" s="1"/>
  <c r="J85" i="20"/>
  <c r="H85" i="20"/>
  <c r="E85" i="20"/>
  <c r="D85" i="20"/>
  <c r="C85" i="20"/>
  <c r="B85" i="20"/>
  <c r="D84" i="20"/>
  <c r="C84" i="20"/>
  <c r="B84" i="20"/>
  <c r="M84" i="20"/>
  <c r="Q84" i="20" s="1"/>
  <c r="S84" i="20" s="1"/>
  <c r="J84" i="20"/>
  <c r="H84" i="20"/>
  <c r="E84" i="20"/>
  <c r="M83" i="20"/>
  <c r="Q83" i="20" s="1"/>
  <c r="S83" i="20" s="1"/>
  <c r="J83" i="20"/>
  <c r="H83" i="20"/>
  <c r="E83" i="20"/>
  <c r="D83" i="20"/>
  <c r="C83" i="20"/>
  <c r="B83" i="20"/>
  <c r="E82" i="20"/>
  <c r="C82" i="20"/>
  <c r="B82" i="20"/>
  <c r="D82" i="20"/>
  <c r="M82" i="20"/>
  <c r="Q82" i="20" s="1"/>
  <c r="S82" i="20" s="1"/>
  <c r="J82" i="20"/>
  <c r="H82" i="20"/>
  <c r="B81" i="20"/>
  <c r="C81" i="20"/>
  <c r="D81" i="20"/>
  <c r="E81" i="20"/>
  <c r="H81" i="20"/>
  <c r="J81" i="20"/>
  <c r="M81" i="20"/>
  <c r="Q81" i="20" s="1"/>
  <c r="S81" i="20" s="1"/>
  <c r="E80" i="20"/>
  <c r="C80" i="20"/>
  <c r="B80" i="20"/>
  <c r="D80" i="20"/>
  <c r="M80" i="20"/>
  <c r="Q80" i="20" s="1"/>
  <c r="S80" i="20" s="1"/>
  <c r="J80" i="20"/>
  <c r="H80" i="20"/>
  <c r="B79" i="20"/>
  <c r="C79" i="20"/>
  <c r="D79" i="20"/>
  <c r="E79" i="20"/>
  <c r="H79" i="20"/>
  <c r="J79" i="20"/>
  <c r="M79" i="20"/>
  <c r="Q79" i="20" s="1"/>
  <c r="S79" i="20" s="1"/>
  <c r="E78" i="20"/>
  <c r="C78" i="20"/>
  <c r="B78" i="20"/>
  <c r="D78" i="20"/>
  <c r="M78" i="20"/>
  <c r="Q78" i="20" s="1"/>
  <c r="S78" i="20" s="1"/>
  <c r="J78" i="20"/>
  <c r="H78" i="20"/>
  <c r="B77" i="20"/>
  <c r="C77" i="20"/>
  <c r="D77" i="20"/>
  <c r="E77" i="20"/>
  <c r="E76" i="20"/>
  <c r="C76" i="20"/>
  <c r="B76" i="20"/>
  <c r="D76" i="20"/>
  <c r="B75" i="20"/>
  <c r="C75" i="20"/>
  <c r="D75" i="20"/>
  <c r="E75" i="20"/>
  <c r="E74" i="20"/>
  <c r="C74" i="20"/>
  <c r="B74" i="20"/>
  <c r="D74" i="20"/>
  <c r="B73" i="20"/>
  <c r="C73" i="20"/>
  <c r="D73" i="20"/>
  <c r="E73" i="20"/>
  <c r="B72" i="20"/>
  <c r="C72" i="20"/>
  <c r="D72" i="20"/>
  <c r="E72" i="20"/>
  <c r="D71" i="20"/>
  <c r="B71" i="20"/>
  <c r="C71" i="20"/>
  <c r="E71" i="20"/>
  <c r="E70" i="20"/>
  <c r="D70" i="20"/>
  <c r="C70" i="20"/>
  <c r="B70" i="20"/>
  <c r="D69" i="20"/>
  <c r="C69" i="20"/>
  <c r="B69" i="20"/>
  <c r="E69" i="20"/>
  <c r="E68" i="20"/>
  <c r="D68" i="20"/>
  <c r="C68" i="20"/>
  <c r="B68" i="20"/>
  <c r="D67" i="20"/>
  <c r="C67" i="20"/>
  <c r="B67" i="20"/>
  <c r="E67" i="20"/>
  <c r="E66" i="20"/>
  <c r="D66" i="20"/>
  <c r="C66" i="20"/>
  <c r="B66" i="20"/>
  <c r="D65" i="20"/>
  <c r="B65" i="20"/>
  <c r="C65" i="20"/>
  <c r="E65" i="20"/>
  <c r="B64" i="20"/>
  <c r="C64" i="20"/>
  <c r="D64" i="20"/>
  <c r="E64" i="20"/>
  <c r="D63" i="20"/>
  <c r="C63" i="20"/>
  <c r="B63" i="20"/>
  <c r="E63" i="20"/>
  <c r="E62" i="20"/>
  <c r="D62" i="20"/>
  <c r="C62" i="20"/>
  <c r="B62" i="20"/>
  <c r="D61" i="20"/>
  <c r="C61" i="20"/>
  <c r="B61" i="20"/>
  <c r="E61" i="20"/>
  <c r="E60" i="20"/>
  <c r="D60" i="20"/>
  <c r="C60" i="20"/>
  <c r="B60" i="20"/>
  <c r="E59" i="20"/>
  <c r="C59" i="20"/>
  <c r="B59" i="20"/>
  <c r="D59" i="20"/>
  <c r="B58" i="20"/>
  <c r="C58" i="20"/>
  <c r="D58" i="20"/>
  <c r="E58" i="20"/>
  <c r="D57" i="20"/>
  <c r="B57" i="20"/>
  <c r="C57" i="20"/>
  <c r="E57" i="20"/>
  <c r="E56" i="20"/>
  <c r="D56" i="20"/>
  <c r="C56" i="20"/>
  <c r="B56" i="20"/>
  <c r="D55" i="20"/>
  <c r="B55" i="20"/>
  <c r="C55" i="20"/>
  <c r="E55" i="20"/>
  <c r="B54" i="20"/>
  <c r="C54" i="20"/>
  <c r="D54" i="20"/>
  <c r="E54" i="20"/>
  <c r="H54" i="20"/>
  <c r="J54" i="20"/>
  <c r="M54" i="20"/>
  <c r="Q54" i="20" s="1"/>
  <c r="S54" i="20" s="1"/>
  <c r="D53" i="20"/>
  <c r="C53" i="20"/>
  <c r="B53" i="20"/>
  <c r="M53" i="20"/>
  <c r="Q53" i="20" s="1"/>
  <c r="S53" i="20" s="1"/>
  <c r="J53" i="20"/>
  <c r="H53" i="20"/>
  <c r="E53" i="20"/>
  <c r="M52" i="20"/>
  <c r="Q52" i="20" s="1"/>
  <c r="S52" i="20" s="1"/>
  <c r="J52" i="20"/>
  <c r="H52" i="20"/>
  <c r="E52" i="20"/>
  <c r="D52" i="20"/>
  <c r="C52" i="20"/>
  <c r="B52" i="20"/>
  <c r="D51" i="20"/>
  <c r="C51" i="20"/>
  <c r="B51" i="20"/>
  <c r="M51" i="20"/>
  <c r="Q51" i="20" s="1"/>
  <c r="S51" i="20" s="1"/>
  <c r="J51" i="20"/>
  <c r="H51" i="20"/>
  <c r="E51" i="20"/>
  <c r="M50" i="20"/>
  <c r="Q50" i="20" s="1"/>
  <c r="S50" i="20" s="1"/>
  <c r="J50" i="20"/>
  <c r="H50" i="20"/>
  <c r="E50" i="20"/>
  <c r="D50" i="20"/>
  <c r="B50" i="20"/>
  <c r="C50" i="20"/>
  <c r="C49" i="20"/>
  <c r="D49" i="20"/>
  <c r="B49" i="20"/>
  <c r="E49" i="20"/>
  <c r="B48" i="20"/>
  <c r="C48" i="20"/>
  <c r="D48" i="20"/>
  <c r="E48" i="20"/>
  <c r="D47" i="20"/>
  <c r="C47" i="20"/>
  <c r="B47" i="20"/>
  <c r="E47" i="20"/>
  <c r="E46" i="20"/>
  <c r="D46" i="20"/>
  <c r="C46" i="20"/>
  <c r="B46" i="20"/>
  <c r="D45" i="20"/>
  <c r="C45" i="20"/>
  <c r="B45" i="20"/>
  <c r="E45" i="20"/>
  <c r="E44" i="20"/>
  <c r="D44" i="20"/>
  <c r="C44" i="20"/>
  <c r="B44" i="20"/>
  <c r="C43" i="20"/>
  <c r="D43" i="20"/>
  <c r="E43" i="20"/>
  <c r="B43" i="20"/>
  <c r="B42" i="20"/>
  <c r="C42" i="20"/>
  <c r="E42" i="20"/>
  <c r="D41" i="20"/>
  <c r="C41" i="20"/>
  <c r="B41" i="20"/>
  <c r="E41" i="20"/>
  <c r="B40" i="20"/>
  <c r="C40" i="20"/>
  <c r="D40" i="20"/>
  <c r="E40" i="20"/>
  <c r="C39" i="20"/>
  <c r="D39" i="20"/>
  <c r="E39" i="20"/>
  <c r="B39" i="20"/>
  <c r="B38" i="20"/>
  <c r="C38" i="20"/>
  <c r="D38" i="20"/>
  <c r="E38" i="20"/>
  <c r="D37" i="20"/>
  <c r="C37" i="20"/>
  <c r="B37" i="20"/>
  <c r="E37" i="20"/>
  <c r="B36" i="20"/>
  <c r="C36" i="20"/>
  <c r="D36" i="20"/>
  <c r="E36" i="20"/>
  <c r="L36" i="20" s="1"/>
  <c r="D35" i="20"/>
  <c r="C35" i="20"/>
  <c r="B35" i="20"/>
  <c r="E35" i="20"/>
  <c r="L35" i="20" s="1"/>
  <c r="B34" i="20"/>
  <c r="C34" i="20"/>
  <c r="D34" i="20"/>
  <c r="E34" i="20"/>
  <c r="L34" i="20" s="1"/>
  <c r="D33" i="20"/>
  <c r="C33" i="20"/>
  <c r="B33" i="20"/>
  <c r="E33" i="20"/>
  <c r="L33" i="20" s="1"/>
  <c r="E32" i="20"/>
  <c r="L32" i="20" s="1"/>
  <c r="D32" i="20"/>
  <c r="C32" i="20"/>
  <c r="B32" i="20"/>
  <c r="D31" i="20"/>
  <c r="C31" i="20"/>
  <c r="B31" i="20"/>
  <c r="M31" i="20"/>
  <c r="Q31" i="20" s="1"/>
  <c r="S31" i="20" s="1"/>
  <c r="J31" i="20"/>
  <c r="I31" i="20"/>
  <c r="K31" i="20" s="1"/>
  <c r="H31" i="20"/>
  <c r="G31" i="20"/>
  <c r="E31" i="20"/>
  <c r="M30" i="20"/>
  <c r="Q30" i="20" s="1"/>
  <c r="S30" i="20" s="1"/>
  <c r="J30" i="20"/>
  <c r="I30" i="20"/>
  <c r="K30" i="20" s="1"/>
  <c r="G30" i="20"/>
  <c r="E30" i="20"/>
  <c r="D30" i="20"/>
  <c r="C30" i="20"/>
  <c r="B30" i="20"/>
  <c r="H30" i="20"/>
  <c r="H29" i="20"/>
  <c r="M29" i="20"/>
  <c r="Q29" i="20" s="1"/>
  <c r="S29" i="20" s="1"/>
  <c r="B29" i="20"/>
  <c r="C29" i="20"/>
  <c r="D29" i="20"/>
  <c r="E29" i="20"/>
  <c r="G29" i="20"/>
  <c r="I29" i="20"/>
  <c r="K29" i="20" s="1"/>
  <c r="J29" i="20"/>
  <c r="D28" i="20"/>
  <c r="B28" i="20"/>
  <c r="C28" i="20"/>
  <c r="M28" i="20"/>
  <c r="Q28" i="20" s="1"/>
  <c r="S28" i="20" s="1"/>
  <c r="J28" i="20"/>
  <c r="I28" i="20"/>
  <c r="K28" i="20" s="1"/>
  <c r="H28" i="20"/>
  <c r="G28" i="20"/>
  <c r="E28" i="20"/>
  <c r="M27" i="20"/>
  <c r="Q27" i="20" s="1"/>
  <c r="S27" i="20" s="1"/>
  <c r="J27" i="20"/>
  <c r="I27" i="20"/>
  <c r="K27" i="20" s="1"/>
  <c r="H27" i="20"/>
  <c r="G27" i="20"/>
  <c r="E27" i="20"/>
  <c r="D27" i="20"/>
  <c r="C27" i="20"/>
  <c r="B27" i="20"/>
  <c r="D26" i="20"/>
  <c r="C26" i="20"/>
  <c r="B26" i="20"/>
  <c r="M26" i="20"/>
  <c r="Q26" i="20" s="1"/>
  <c r="S26" i="20" s="1"/>
  <c r="J26" i="20"/>
  <c r="I26" i="20"/>
  <c r="K26" i="20" s="1"/>
  <c r="H26" i="20"/>
  <c r="G26" i="20"/>
  <c r="E26" i="20"/>
  <c r="M25" i="20"/>
  <c r="Q25" i="20" s="1"/>
  <c r="S25" i="20" s="1"/>
  <c r="J25" i="20"/>
  <c r="I25" i="20"/>
  <c r="K25" i="20" s="1"/>
  <c r="H25" i="20"/>
  <c r="G25" i="20"/>
  <c r="E25" i="20"/>
  <c r="D25" i="20"/>
  <c r="C25" i="20"/>
  <c r="B25" i="20"/>
  <c r="B24" i="20"/>
  <c r="C24" i="20"/>
  <c r="D24" i="20"/>
  <c r="M24" i="20"/>
  <c r="Q24" i="20" s="1"/>
  <c r="S24" i="20" s="1"/>
  <c r="J24" i="20"/>
  <c r="H24" i="20"/>
  <c r="E24" i="20"/>
  <c r="B23" i="20"/>
  <c r="C23" i="20"/>
  <c r="D23" i="20"/>
  <c r="E23" i="20"/>
  <c r="H23" i="20"/>
  <c r="J23" i="20"/>
  <c r="M23" i="20"/>
  <c r="Q23" i="20" s="1"/>
  <c r="S23" i="20" s="1"/>
  <c r="D22" i="20"/>
  <c r="C22" i="20"/>
  <c r="B22" i="20"/>
  <c r="M22" i="20"/>
  <c r="Q22" i="20" s="1"/>
  <c r="S22" i="20" s="1"/>
  <c r="J22" i="20"/>
  <c r="H22" i="20"/>
  <c r="E22" i="20"/>
  <c r="M21" i="20"/>
  <c r="Q21" i="20" s="1"/>
  <c r="S21" i="20" s="1"/>
  <c r="J21" i="20"/>
  <c r="E21" i="20"/>
  <c r="D21" i="20"/>
  <c r="C21" i="20"/>
  <c r="B21" i="20"/>
  <c r="H21" i="20"/>
  <c r="H20" i="20"/>
  <c r="D20" i="20"/>
  <c r="B20" i="20"/>
  <c r="M20" i="20"/>
  <c r="Q20" i="20" s="1"/>
  <c r="S20" i="20" s="1"/>
  <c r="J20" i="20"/>
  <c r="C20" i="20"/>
  <c r="E20" i="20"/>
  <c r="B19" i="20"/>
  <c r="C19" i="20"/>
  <c r="D19" i="20"/>
  <c r="E19" i="20"/>
  <c r="H19" i="20"/>
  <c r="J19" i="20"/>
  <c r="M19" i="20"/>
  <c r="Q19" i="20" s="1"/>
  <c r="S19" i="20" s="1"/>
  <c r="D18" i="20"/>
  <c r="C18" i="20"/>
  <c r="B18" i="20"/>
  <c r="M18" i="20"/>
  <c r="Q18" i="20" s="1"/>
  <c r="S18" i="20" s="1"/>
  <c r="J18" i="20"/>
  <c r="H18" i="20"/>
  <c r="E18" i="20"/>
  <c r="M17" i="20"/>
  <c r="Q17" i="20" s="1"/>
  <c r="S17" i="20" s="1"/>
  <c r="J17" i="20"/>
  <c r="H17" i="20"/>
  <c r="E17" i="20"/>
  <c r="D17" i="20"/>
  <c r="C17" i="20"/>
  <c r="B17" i="20"/>
  <c r="D16" i="20"/>
  <c r="C16" i="20"/>
  <c r="B16" i="20"/>
  <c r="M16" i="20"/>
  <c r="Q16" i="20" s="1"/>
  <c r="S16" i="20" s="1"/>
  <c r="J16" i="20"/>
  <c r="H16" i="20"/>
  <c r="E16" i="20"/>
  <c r="M15" i="20"/>
  <c r="Q15" i="20" s="1"/>
  <c r="S15" i="20" s="1"/>
  <c r="J15" i="20"/>
  <c r="H15" i="20"/>
  <c r="D15" i="20"/>
  <c r="B15" i="20"/>
  <c r="C15" i="20"/>
  <c r="E15" i="20"/>
  <c r="C14" i="20"/>
  <c r="D14" i="20"/>
  <c r="E14" i="20"/>
  <c r="M14" i="20"/>
  <c r="Q14" i="20" s="1"/>
  <c r="S14" i="20" s="1"/>
  <c r="J14" i="20"/>
  <c r="H14" i="20"/>
  <c r="B14" i="20"/>
  <c r="B13" i="20"/>
  <c r="C13" i="20"/>
  <c r="D13" i="20"/>
  <c r="E13" i="20"/>
  <c r="H13" i="20"/>
  <c r="J13" i="20"/>
  <c r="M13" i="20"/>
  <c r="Q13" i="20" s="1"/>
  <c r="S13" i="20" s="1"/>
  <c r="E12" i="20"/>
  <c r="D12" i="20"/>
  <c r="C12" i="20"/>
  <c r="B12" i="20"/>
  <c r="M12" i="20"/>
  <c r="Q12" i="20" s="1"/>
  <c r="S12" i="20" s="1"/>
  <c r="J12" i="20"/>
  <c r="H12" i="20"/>
  <c r="M11" i="20"/>
  <c r="Q11" i="20" s="1"/>
  <c r="S11" i="20" s="1"/>
  <c r="J11" i="20"/>
  <c r="H11" i="20"/>
  <c r="E11" i="20"/>
  <c r="C11" i="20"/>
  <c r="B11" i="20"/>
  <c r="C10" i="20"/>
  <c r="B10" i="20"/>
  <c r="D10" i="20"/>
  <c r="E10" i="20"/>
  <c r="M10" i="20"/>
  <c r="Q10" i="20" s="1"/>
  <c r="S10" i="20" s="1"/>
  <c r="J10" i="20"/>
  <c r="H10" i="20"/>
  <c r="M9" i="20"/>
  <c r="Q9" i="20" s="1"/>
  <c r="S9" i="20" s="1"/>
  <c r="J9" i="20"/>
  <c r="H9" i="20"/>
  <c r="E9" i="20"/>
  <c r="D9" i="20"/>
  <c r="C9" i="20"/>
  <c r="B9" i="20"/>
  <c r="E8" i="20"/>
  <c r="D8" i="20"/>
  <c r="C8" i="20"/>
  <c r="B8" i="20"/>
  <c r="M8" i="20"/>
  <c r="Q8" i="20" s="1"/>
  <c r="S8" i="20" s="1"/>
  <c r="J8" i="20"/>
  <c r="H8" i="20"/>
  <c r="B7" i="20"/>
  <c r="C7" i="20"/>
  <c r="D7" i="20"/>
  <c r="E7" i="20"/>
  <c r="H7" i="20"/>
  <c r="J7" i="20"/>
  <c r="M7" i="20"/>
  <c r="Q7" i="20" s="1"/>
  <c r="S7" i="20" s="1"/>
  <c r="B6" i="20"/>
  <c r="E6" i="20"/>
  <c r="D6" i="20"/>
  <c r="H6" i="20"/>
  <c r="C6" i="20"/>
  <c r="M6" i="20"/>
  <c r="Q6" i="20" s="1"/>
  <c r="S6" i="20" s="1"/>
  <c r="J6" i="20"/>
  <c r="B5" i="20"/>
  <c r="C5" i="20"/>
  <c r="D5" i="20"/>
  <c r="E5" i="20"/>
  <c r="H5" i="20"/>
  <c r="J5" i="20"/>
  <c r="M5" i="20"/>
  <c r="Q5" i="20" s="1"/>
  <c r="S5" i="20" s="1"/>
  <c r="E4" i="20"/>
  <c r="D4" i="20"/>
  <c r="C4" i="20"/>
  <c r="B4" i="20"/>
  <c r="M4" i="20"/>
  <c r="Q4" i="20" s="1"/>
  <c r="S4" i="20" s="1"/>
  <c r="J4" i="20"/>
  <c r="H4" i="20"/>
  <c r="B3" i="20"/>
  <c r="C3" i="20"/>
  <c r="D3" i="20"/>
  <c r="E3" i="20"/>
  <c r="H3" i="20"/>
  <c r="J3" i="20"/>
  <c r="M3" i="20"/>
  <c r="Q3" i="20" s="1"/>
  <c r="F56" i="14"/>
  <c r="F40" i="14"/>
  <c r="F52" i="14"/>
  <c r="F48" i="14"/>
  <c r="F51" i="14"/>
  <c r="M253" i="20"/>
  <c r="Q253" i="20" s="1"/>
  <c r="S253" i="20" s="1"/>
  <c r="J253" i="20"/>
  <c r="I253" i="20"/>
  <c r="K253" i="20" s="1"/>
  <c r="H253" i="20"/>
  <c r="G253" i="20"/>
  <c r="F45" i="14"/>
  <c r="F79" i="14"/>
  <c r="F25" i="14"/>
  <c r="F62" i="14"/>
  <c r="F59" i="14"/>
  <c r="F31" i="14"/>
  <c r="F35" i="14"/>
  <c r="F42" i="14"/>
  <c r="F43" i="14"/>
  <c r="F47" i="14"/>
  <c r="F50" i="14"/>
  <c r="F54" i="14"/>
  <c r="F57" i="14"/>
  <c r="F58" i="14"/>
  <c r="F61" i="14"/>
  <c r="F63" i="14"/>
  <c r="F64" i="14"/>
  <c r="F66" i="14"/>
  <c r="F68" i="14"/>
  <c r="F72" i="14"/>
  <c r="F74" i="14"/>
  <c r="F76" i="14"/>
  <c r="F77" i="14"/>
  <c r="F80" i="14"/>
  <c r="F81" i="14"/>
  <c r="F82" i="14"/>
  <c r="F83" i="14"/>
  <c r="F84" i="14"/>
  <c r="F85" i="14"/>
  <c r="F86" i="14"/>
  <c r="F87" i="14"/>
  <c r="F88" i="14"/>
  <c r="F90" i="14"/>
  <c r="F91" i="14"/>
  <c r="F92" i="14"/>
  <c r="F93" i="14"/>
  <c r="F94" i="14"/>
  <c r="F95" i="14"/>
  <c r="F96" i="14"/>
  <c r="F97" i="14"/>
  <c r="F30" i="14"/>
  <c r="F33" i="14"/>
  <c r="F37" i="14"/>
  <c r="F39" i="14"/>
  <c r="F46" i="14"/>
  <c r="F49" i="14"/>
  <c r="F55" i="14"/>
  <c r="F60" i="14"/>
  <c r="F65" i="14"/>
  <c r="F69" i="14"/>
  <c r="F70" i="14"/>
  <c r="F71" i="14"/>
  <c r="F75" i="14"/>
  <c r="F78" i="14"/>
  <c r="F24" i="14"/>
  <c r="F27" i="14"/>
  <c r="F28" i="14"/>
  <c r="F32" i="14"/>
  <c r="F36" i="14"/>
  <c r="F26" i="14"/>
  <c r="F21" i="25"/>
  <c r="I345" i="22"/>
  <c r="G345" i="22"/>
  <c r="C345" i="22"/>
  <c r="B345" i="22"/>
  <c r="I344" i="22"/>
  <c r="G344" i="22"/>
  <c r="C344" i="22"/>
  <c r="B344" i="22"/>
  <c r="G343" i="22"/>
  <c r="B343" i="22"/>
  <c r="C343" i="22"/>
  <c r="I343" i="22"/>
  <c r="B342" i="22"/>
  <c r="C342" i="22"/>
  <c r="G342" i="22"/>
  <c r="I342" i="22"/>
  <c r="I341" i="22"/>
  <c r="B341" i="22"/>
  <c r="C341" i="22"/>
  <c r="G341" i="22"/>
  <c r="G340" i="22"/>
  <c r="I340" i="22"/>
  <c r="B340" i="22"/>
  <c r="C340" i="22"/>
  <c r="G338" i="22"/>
  <c r="I338" i="22"/>
  <c r="B338" i="22"/>
  <c r="C338" i="22"/>
  <c r="B337" i="22"/>
  <c r="C337" i="22"/>
  <c r="G337" i="22"/>
  <c r="I337" i="22"/>
  <c r="C336" i="22"/>
  <c r="B336" i="22"/>
  <c r="G336" i="22"/>
  <c r="I336" i="22"/>
  <c r="C335" i="22"/>
  <c r="B335" i="22"/>
  <c r="G335" i="22"/>
  <c r="I335" i="22"/>
  <c r="I334" i="22"/>
  <c r="C334" i="22"/>
  <c r="B334" i="22"/>
  <c r="G334" i="22"/>
  <c r="G333" i="22"/>
  <c r="B333" i="22"/>
  <c r="I333" i="22"/>
  <c r="C333" i="22"/>
  <c r="G332" i="22"/>
  <c r="B332" i="22"/>
  <c r="C332" i="22"/>
  <c r="I332" i="22"/>
  <c r="G331" i="22"/>
  <c r="A330" i="22"/>
  <c r="C331" i="22"/>
  <c r="I331" i="22"/>
  <c r="B331" i="22"/>
  <c r="I329" i="22"/>
  <c r="C329" i="22"/>
  <c r="B329" i="22"/>
  <c r="G329" i="22"/>
  <c r="I328" i="22"/>
  <c r="G328" i="22"/>
  <c r="B328" i="22"/>
  <c r="C328" i="22"/>
  <c r="B327" i="22"/>
  <c r="C327" i="22"/>
  <c r="I327" i="22"/>
  <c r="G327" i="22"/>
  <c r="C326" i="22"/>
  <c r="B326" i="22"/>
  <c r="G326" i="22"/>
  <c r="I326" i="22"/>
  <c r="G325" i="22"/>
  <c r="B325" i="22"/>
  <c r="A324" i="22"/>
  <c r="I325" i="22"/>
  <c r="C325" i="22"/>
  <c r="I323" i="22"/>
  <c r="G323" i="22"/>
  <c r="B323" i="22"/>
  <c r="C323" i="22"/>
  <c r="I322" i="22"/>
  <c r="C322" i="22"/>
  <c r="B322" i="22"/>
  <c r="G322" i="22"/>
  <c r="G321" i="22"/>
  <c r="C321" i="22"/>
  <c r="B321" i="22"/>
  <c r="I321" i="22"/>
  <c r="C320" i="22"/>
  <c r="I320" i="22"/>
  <c r="G320" i="22"/>
  <c r="B320" i="22"/>
  <c r="B319" i="22"/>
  <c r="G319" i="22"/>
  <c r="C319" i="22"/>
  <c r="A318" i="22"/>
  <c r="I319" i="22"/>
  <c r="I317" i="22"/>
  <c r="C317" i="22"/>
  <c r="B317" i="22"/>
  <c r="I316" i="22"/>
  <c r="G316" i="22"/>
  <c r="C316" i="22"/>
  <c r="B316" i="22"/>
  <c r="C315" i="22"/>
  <c r="I315" i="22"/>
  <c r="G315" i="22"/>
  <c r="B315" i="22"/>
  <c r="B314" i="22"/>
  <c r="C314" i="22"/>
  <c r="G314" i="22"/>
  <c r="I314" i="22"/>
  <c r="B313" i="22"/>
  <c r="I313" i="22"/>
  <c r="A312" i="22"/>
  <c r="G313" i="22"/>
  <c r="C313" i="22"/>
  <c r="C311" i="22"/>
  <c r="G311" i="22"/>
  <c r="B311" i="22"/>
  <c r="I311" i="22"/>
  <c r="A309" i="22"/>
  <c r="B310" i="22"/>
  <c r="C310" i="22"/>
  <c r="G310" i="22"/>
  <c r="I310" i="22"/>
  <c r="I308" i="22"/>
  <c r="G308" i="22"/>
  <c r="B308" i="22"/>
  <c r="C308" i="22"/>
  <c r="C307" i="22"/>
  <c r="I307" i="22"/>
  <c r="G307" i="22"/>
  <c r="B307" i="22"/>
  <c r="C306" i="22"/>
  <c r="I306" i="22"/>
  <c r="B306" i="22"/>
  <c r="G306" i="22"/>
  <c r="I305" i="22"/>
  <c r="G305" i="22"/>
  <c r="B305" i="22"/>
  <c r="C305" i="22"/>
  <c r="G304" i="22"/>
  <c r="C304" i="22"/>
  <c r="B304" i="22"/>
  <c r="I304" i="22"/>
  <c r="I303" i="22"/>
  <c r="G303" i="22"/>
  <c r="B303" i="22"/>
  <c r="C303" i="22"/>
  <c r="C302" i="22"/>
  <c r="G302" i="22"/>
  <c r="I302" i="22"/>
  <c r="B302" i="22"/>
  <c r="C301" i="22"/>
  <c r="I301" i="22"/>
  <c r="B301" i="22"/>
  <c r="G301" i="22"/>
  <c r="G300" i="22"/>
  <c r="I300" i="22"/>
  <c r="C300" i="22"/>
  <c r="B300" i="22"/>
  <c r="C299" i="22"/>
  <c r="A298" i="22"/>
  <c r="I299" i="22"/>
  <c r="G299" i="22"/>
  <c r="B299" i="22"/>
  <c r="G297" i="22"/>
  <c r="B297" i="22"/>
  <c r="I297" i="22"/>
  <c r="C297" i="22"/>
  <c r="G296" i="22"/>
  <c r="I296" i="22"/>
  <c r="C296" i="22"/>
  <c r="B296" i="22"/>
  <c r="B295" i="22"/>
  <c r="I295" i="22"/>
  <c r="C295" i="22"/>
  <c r="G295" i="22"/>
  <c r="B294" i="22"/>
  <c r="G294" i="22"/>
  <c r="C294" i="22"/>
  <c r="I294" i="22"/>
  <c r="I293" i="22"/>
  <c r="C293" i="22"/>
  <c r="G293" i="22"/>
  <c r="B293" i="22"/>
  <c r="G292" i="22"/>
  <c r="C292" i="22"/>
  <c r="I292" i="22"/>
  <c r="B292" i="22"/>
  <c r="G291" i="22"/>
  <c r="C291" i="22"/>
  <c r="B291" i="22"/>
  <c r="I291" i="22"/>
  <c r="G290" i="22"/>
  <c r="B290" i="22"/>
  <c r="C290" i="22"/>
  <c r="I290" i="22"/>
  <c r="B289" i="22"/>
  <c r="I289" i="22"/>
  <c r="C289" i="22"/>
  <c r="G289" i="22"/>
  <c r="I288" i="22"/>
  <c r="C288" i="22"/>
  <c r="B288" i="22"/>
  <c r="G288" i="22"/>
  <c r="G287" i="22"/>
  <c r="I287" i="22"/>
  <c r="C287" i="22"/>
  <c r="B287" i="22"/>
  <c r="C286" i="22"/>
  <c r="B286" i="22"/>
  <c r="I286" i="22"/>
  <c r="G286" i="22"/>
  <c r="A285" i="22"/>
  <c r="C284" i="22"/>
  <c r="I284" i="22"/>
  <c r="B284" i="22"/>
  <c r="G284" i="22"/>
  <c r="B283" i="22"/>
  <c r="G283" i="22"/>
  <c r="I283" i="22"/>
  <c r="C283" i="22"/>
  <c r="G282" i="22"/>
  <c r="I282" i="22"/>
  <c r="C282" i="22"/>
  <c r="B282" i="22"/>
  <c r="C281" i="22"/>
  <c r="I281" i="22"/>
  <c r="G281" i="22"/>
  <c r="B281" i="22"/>
  <c r="B280" i="22"/>
  <c r="C280" i="22"/>
  <c r="I280" i="22"/>
  <c r="G280" i="22"/>
  <c r="I279" i="22"/>
  <c r="G279" i="22"/>
  <c r="B279" i="22"/>
  <c r="C279" i="22"/>
  <c r="C278" i="22"/>
  <c r="G278" i="22"/>
  <c r="I278" i="22"/>
  <c r="B278" i="22"/>
  <c r="B277" i="22"/>
  <c r="I277" i="22"/>
  <c r="G277" i="22"/>
  <c r="C277" i="22"/>
  <c r="C276" i="22"/>
  <c r="G276" i="22"/>
  <c r="B276" i="22"/>
  <c r="I276" i="22"/>
  <c r="I275" i="22"/>
  <c r="G275" i="22"/>
  <c r="B275" i="22"/>
  <c r="C275" i="22"/>
  <c r="B274" i="22"/>
  <c r="G274" i="22"/>
  <c r="C274" i="22"/>
  <c r="I274" i="22"/>
  <c r="G273" i="22"/>
  <c r="I273" i="22"/>
  <c r="C273" i="22"/>
  <c r="B273" i="22"/>
  <c r="I272" i="22"/>
  <c r="B272" i="22"/>
  <c r="G272" i="22"/>
  <c r="C272" i="22"/>
  <c r="B271" i="22"/>
  <c r="C271" i="22"/>
  <c r="G271" i="22"/>
  <c r="I271" i="22"/>
  <c r="I270" i="22"/>
  <c r="G270" i="22"/>
  <c r="B270" i="22"/>
  <c r="C270" i="22"/>
  <c r="I269" i="22"/>
  <c r="C269" i="22"/>
  <c r="G269" i="22"/>
  <c r="B269" i="22"/>
  <c r="I268" i="22"/>
  <c r="C268" i="22"/>
  <c r="G268" i="22"/>
  <c r="B268" i="22"/>
  <c r="C267" i="22"/>
  <c r="I267" i="22"/>
  <c r="G267" i="22"/>
  <c r="B267" i="22"/>
  <c r="G266" i="22"/>
  <c r="C266" i="22"/>
  <c r="I266" i="22"/>
  <c r="B266" i="22"/>
  <c r="G265" i="22"/>
  <c r="B265" i="22"/>
  <c r="I265" i="22"/>
  <c r="C265" i="22"/>
  <c r="I264" i="22"/>
  <c r="B264" i="22"/>
  <c r="G264" i="22"/>
  <c r="C264" i="22"/>
  <c r="G263" i="22"/>
  <c r="I263" i="22"/>
  <c r="C263" i="22"/>
  <c r="B263" i="22"/>
  <c r="G262" i="22"/>
  <c r="B262" i="22"/>
  <c r="I262" i="22"/>
  <c r="C262" i="22"/>
  <c r="G261" i="22"/>
  <c r="C261" i="22"/>
  <c r="I261" i="22"/>
  <c r="B261" i="22"/>
  <c r="B260" i="22"/>
  <c r="I260" i="22"/>
  <c r="G260" i="22"/>
  <c r="C260" i="22"/>
  <c r="B259" i="22"/>
  <c r="G259" i="22"/>
  <c r="C259" i="22"/>
  <c r="I259" i="22"/>
  <c r="I258" i="22"/>
  <c r="B258" i="22"/>
  <c r="C258" i="22"/>
  <c r="G258" i="22"/>
  <c r="G257" i="22"/>
  <c r="I257" i="22"/>
  <c r="C257" i="22"/>
  <c r="B257" i="22"/>
  <c r="B256" i="22"/>
  <c r="G256" i="22"/>
  <c r="C256" i="22"/>
  <c r="A255" i="22"/>
  <c r="I256" i="22"/>
  <c r="I254" i="22"/>
  <c r="C254" i="22"/>
  <c r="B254" i="22"/>
  <c r="G254" i="22"/>
  <c r="G253" i="22"/>
  <c r="C253" i="22"/>
  <c r="B253" i="22"/>
  <c r="I253" i="22"/>
  <c r="C252" i="22"/>
  <c r="B252" i="22"/>
  <c r="I252" i="22"/>
  <c r="G252" i="22"/>
  <c r="G251" i="22"/>
  <c r="B251" i="22"/>
  <c r="C251" i="22"/>
  <c r="I251" i="22"/>
  <c r="I250" i="22"/>
  <c r="B250" i="22"/>
  <c r="G250" i="22"/>
  <c r="C250" i="22"/>
  <c r="C249" i="22"/>
  <c r="G249" i="22"/>
  <c r="I249" i="22"/>
  <c r="B249" i="22"/>
  <c r="B248" i="22"/>
  <c r="G248" i="22"/>
  <c r="C248" i="22"/>
  <c r="I248" i="22"/>
  <c r="I247" i="22"/>
  <c r="G247" i="22"/>
  <c r="C247" i="22"/>
  <c r="B247" i="22"/>
  <c r="I246" i="22"/>
  <c r="B246" i="22"/>
  <c r="A245" i="22"/>
  <c r="G246" i="22"/>
  <c r="C246" i="22"/>
  <c r="C244" i="22"/>
  <c r="G244" i="22"/>
  <c r="B244" i="22"/>
  <c r="I244" i="22"/>
  <c r="I243" i="22"/>
  <c r="B243" i="22"/>
  <c r="C243" i="22"/>
  <c r="G243" i="22"/>
  <c r="C242" i="22"/>
  <c r="G242" i="22"/>
  <c r="I242" i="22"/>
  <c r="B242" i="22"/>
  <c r="G241" i="22"/>
  <c r="C241" i="22"/>
  <c r="B241" i="22"/>
  <c r="I241" i="22"/>
  <c r="B240" i="22"/>
  <c r="G240" i="22"/>
  <c r="C240" i="22"/>
  <c r="I240" i="22"/>
  <c r="I239" i="22"/>
  <c r="C239" i="22"/>
  <c r="G239" i="22"/>
  <c r="B239" i="22"/>
  <c r="I238" i="22"/>
  <c r="G238" i="22"/>
  <c r="C238" i="22"/>
  <c r="B238" i="22"/>
  <c r="B237" i="22"/>
  <c r="G237" i="22"/>
  <c r="I237" i="22"/>
  <c r="C237" i="22"/>
  <c r="C236" i="22"/>
  <c r="B236" i="22"/>
  <c r="G236" i="22"/>
  <c r="I236" i="22"/>
  <c r="B235" i="22"/>
  <c r="I235" i="22"/>
  <c r="G235" i="22"/>
  <c r="C235" i="22"/>
  <c r="G234" i="22"/>
  <c r="C234" i="22"/>
  <c r="I234" i="22"/>
  <c r="B234" i="22"/>
  <c r="I233" i="22"/>
  <c r="G233" i="22"/>
  <c r="C233" i="22"/>
  <c r="B233" i="22"/>
  <c r="C232" i="22"/>
  <c r="B232" i="22"/>
  <c r="I232" i="22"/>
  <c r="G232" i="22"/>
  <c r="G231" i="22"/>
  <c r="B231" i="22"/>
  <c r="C231" i="22"/>
  <c r="I231" i="22"/>
  <c r="I230" i="22"/>
  <c r="G230" i="22"/>
  <c r="C230" i="22"/>
  <c r="B230" i="22"/>
  <c r="G229" i="22"/>
  <c r="C229" i="22"/>
  <c r="I229" i="22"/>
  <c r="B229" i="22"/>
  <c r="B228" i="22"/>
  <c r="I228" i="22"/>
  <c r="C228" i="22"/>
  <c r="G228" i="22"/>
  <c r="A226" i="22"/>
  <c r="B227" i="22"/>
  <c r="I227" i="22"/>
  <c r="C227" i="22"/>
  <c r="G227" i="22"/>
  <c r="B225" i="22"/>
  <c r="G225" i="22"/>
  <c r="I225" i="22"/>
  <c r="C225" i="22"/>
  <c r="B224" i="22"/>
  <c r="G224" i="22"/>
  <c r="I224" i="22"/>
  <c r="C224" i="22"/>
  <c r="B223" i="22"/>
  <c r="I223" i="22"/>
  <c r="G223" i="22"/>
  <c r="C223" i="22"/>
  <c r="I222" i="22"/>
  <c r="G222" i="22"/>
  <c r="C222" i="22"/>
  <c r="B222" i="22"/>
  <c r="C221" i="22"/>
  <c r="B221" i="22"/>
  <c r="G221" i="22"/>
  <c r="I221" i="22"/>
  <c r="A219" i="22"/>
  <c r="G220" i="22"/>
  <c r="I220" i="22"/>
  <c r="B220" i="22"/>
  <c r="C220" i="22"/>
  <c r="I218" i="22"/>
  <c r="B218" i="22"/>
  <c r="C218" i="22"/>
  <c r="G218" i="22"/>
  <c r="G217" i="22"/>
  <c r="I217" i="22"/>
  <c r="B217" i="22"/>
  <c r="C217" i="22"/>
  <c r="C216" i="22"/>
  <c r="I216" i="22"/>
  <c r="B216" i="22"/>
  <c r="G216" i="22"/>
  <c r="G215" i="22"/>
  <c r="I215" i="22"/>
  <c r="C215" i="22"/>
  <c r="B215" i="22"/>
  <c r="A214" i="22"/>
  <c r="B213" i="22"/>
  <c r="G213" i="22"/>
  <c r="I213" i="22"/>
  <c r="C213" i="22"/>
  <c r="G212" i="22"/>
  <c r="C212" i="22"/>
  <c r="B212" i="22"/>
  <c r="I212" i="22"/>
  <c r="C211" i="22"/>
  <c r="I211" i="22"/>
  <c r="B211" i="22"/>
  <c r="G211" i="22"/>
  <c r="I210" i="22"/>
  <c r="C210" i="22"/>
  <c r="G210" i="22"/>
  <c r="B210" i="22"/>
  <c r="B209" i="22"/>
  <c r="I209" i="22"/>
  <c r="G209" i="22"/>
  <c r="C209" i="22"/>
  <c r="C208" i="22"/>
  <c r="G208" i="22"/>
  <c r="I208" i="22"/>
  <c r="B208" i="22"/>
  <c r="C207" i="22"/>
  <c r="G207" i="22"/>
  <c r="I207" i="22"/>
  <c r="B207" i="22"/>
  <c r="I206" i="22"/>
  <c r="G206" i="22"/>
  <c r="C206" i="22"/>
  <c r="B206" i="22"/>
  <c r="C205" i="22"/>
  <c r="I205" i="22"/>
  <c r="B205" i="22"/>
  <c r="G205" i="22"/>
  <c r="G204" i="22"/>
  <c r="C204" i="22"/>
  <c r="I204" i="22"/>
  <c r="B204" i="22"/>
  <c r="B203" i="22"/>
  <c r="G203" i="22"/>
  <c r="A202" i="22"/>
  <c r="C203" i="22"/>
  <c r="I203" i="22"/>
  <c r="B201" i="22"/>
  <c r="E201" i="22"/>
  <c r="G201" i="22"/>
  <c r="C201" i="22"/>
  <c r="I201" i="22"/>
  <c r="D201" i="22"/>
  <c r="B200" i="22"/>
  <c r="I200" i="22"/>
  <c r="G200" i="22"/>
  <c r="D200" i="22"/>
  <c r="C200" i="22"/>
  <c r="E200" i="22"/>
  <c r="D199" i="22"/>
  <c r="G199" i="22"/>
  <c r="C199" i="22"/>
  <c r="B199" i="22"/>
  <c r="E199" i="22"/>
  <c r="I199" i="22"/>
  <c r="C198" i="22"/>
  <c r="G198" i="22"/>
  <c r="D198" i="22"/>
  <c r="B198" i="22"/>
  <c r="E198" i="22"/>
  <c r="I198" i="22"/>
  <c r="E197" i="22"/>
  <c r="D197" i="22"/>
  <c r="I197" i="22"/>
  <c r="G197" i="22"/>
  <c r="B197" i="22"/>
  <c r="C197" i="22"/>
  <c r="D196" i="22"/>
  <c r="B196" i="22"/>
  <c r="G196" i="22"/>
  <c r="C196" i="22"/>
  <c r="E196" i="22"/>
  <c r="I196" i="22"/>
  <c r="D195" i="22"/>
  <c r="B195" i="22"/>
  <c r="I195" i="22"/>
  <c r="E195" i="22"/>
  <c r="C195" i="22"/>
  <c r="G195" i="22"/>
  <c r="G194" i="22"/>
  <c r="D194" i="22"/>
  <c r="B194" i="22"/>
  <c r="I194" i="22"/>
  <c r="E194" i="22"/>
  <c r="C194" i="22"/>
  <c r="I193" i="22"/>
  <c r="C193" i="22"/>
  <c r="D193" i="22"/>
  <c r="G193" i="22"/>
  <c r="E193" i="22"/>
  <c r="B193" i="22"/>
  <c r="G192" i="22"/>
  <c r="D192" i="22"/>
  <c r="B192" i="22"/>
  <c r="E192" i="22"/>
  <c r="C192" i="22"/>
  <c r="I192" i="22"/>
  <c r="E191" i="22"/>
  <c r="D191" i="22"/>
  <c r="I191" i="22"/>
  <c r="C191" i="22"/>
  <c r="G191" i="22"/>
  <c r="B191" i="22"/>
  <c r="I190" i="22"/>
  <c r="E190" i="22"/>
  <c r="C190" i="22"/>
  <c r="D190" i="22"/>
  <c r="B190" i="22"/>
  <c r="G190" i="22"/>
  <c r="I189" i="22"/>
  <c r="B189" i="22"/>
  <c r="G189" i="22"/>
  <c r="D189" i="22"/>
  <c r="C189" i="22"/>
  <c r="E189" i="22"/>
  <c r="I188" i="22"/>
  <c r="B188" i="22"/>
  <c r="D188" i="22"/>
  <c r="E188" i="22"/>
  <c r="C188" i="22"/>
  <c r="G188" i="22"/>
  <c r="I187" i="22"/>
  <c r="C187" i="22"/>
  <c r="D187" i="22"/>
  <c r="E187" i="22"/>
  <c r="G187" i="22"/>
  <c r="B187" i="22"/>
  <c r="C186" i="22"/>
  <c r="I186" i="22"/>
  <c r="B186" i="22"/>
  <c r="E186" i="22"/>
  <c r="D186" i="22"/>
  <c r="G186" i="22"/>
  <c r="A185" i="22"/>
  <c r="B184" i="22"/>
  <c r="G184" i="22"/>
  <c r="C184" i="22"/>
  <c r="I184" i="22"/>
  <c r="I183" i="22"/>
  <c r="C183" i="22"/>
  <c r="G183" i="22"/>
  <c r="B183" i="22"/>
  <c r="I182" i="22"/>
  <c r="C182" i="22"/>
  <c r="B182" i="22"/>
  <c r="G182" i="22"/>
  <c r="G181" i="22"/>
  <c r="I181" i="22"/>
  <c r="B181" i="22"/>
  <c r="C181" i="22"/>
  <c r="B180" i="22"/>
  <c r="G180" i="22"/>
  <c r="C180" i="22"/>
  <c r="I180" i="22"/>
  <c r="I179" i="22"/>
  <c r="G179" i="22"/>
  <c r="B179" i="22"/>
  <c r="C179" i="22"/>
  <c r="C178" i="22"/>
  <c r="G178" i="22"/>
  <c r="B178" i="22"/>
  <c r="I178" i="22"/>
  <c r="G177" i="22"/>
  <c r="C177" i="22"/>
  <c r="I177" i="22"/>
  <c r="B177" i="22"/>
  <c r="B176" i="22"/>
  <c r="C176" i="22"/>
  <c r="I176" i="22"/>
  <c r="G176" i="22"/>
  <c r="C175" i="22"/>
  <c r="G175" i="22"/>
  <c r="B175" i="22"/>
  <c r="I175" i="22"/>
  <c r="I174" i="22"/>
  <c r="G174" i="22"/>
  <c r="B174" i="22"/>
  <c r="C174" i="22"/>
  <c r="I173" i="22"/>
  <c r="G173" i="22"/>
  <c r="C173" i="22"/>
  <c r="B173" i="22"/>
  <c r="I172" i="22"/>
  <c r="B172" i="22"/>
  <c r="G172" i="22"/>
  <c r="C172" i="22"/>
  <c r="C171" i="22"/>
  <c r="A170" i="22"/>
  <c r="B171" i="22"/>
  <c r="I171" i="22"/>
  <c r="G171" i="22"/>
  <c r="G169" i="22"/>
  <c r="I169" i="22"/>
  <c r="C169" i="22"/>
  <c r="B169" i="22"/>
  <c r="I168" i="22"/>
  <c r="G168" i="22"/>
  <c r="C168" i="22"/>
  <c r="B168" i="22"/>
  <c r="C167" i="22"/>
  <c r="B167" i="22"/>
  <c r="I167" i="22"/>
  <c r="G167" i="22"/>
  <c r="I166" i="22"/>
  <c r="G166" i="22"/>
  <c r="C166" i="22"/>
  <c r="B166" i="22"/>
  <c r="B165" i="22"/>
  <c r="I165" i="22"/>
  <c r="C165" i="22"/>
  <c r="G165" i="22"/>
  <c r="B164" i="22"/>
  <c r="G164" i="22"/>
  <c r="I164" i="22"/>
  <c r="C164" i="22"/>
  <c r="I163" i="22"/>
  <c r="G163" i="22"/>
  <c r="B163" i="22"/>
  <c r="C163" i="22"/>
  <c r="I162" i="22"/>
  <c r="B162" i="22"/>
  <c r="G162" i="22"/>
  <c r="C162" i="22"/>
  <c r="C161" i="22"/>
  <c r="G161" i="22"/>
  <c r="B161" i="22"/>
  <c r="I161" i="22"/>
  <c r="B160" i="22"/>
  <c r="I160" i="22"/>
  <c r="C160" i="22"/>
  <c r="G160" i="22"/>
  <c r="G159" i="22"/>
  <c r="C159" i="22"/>
  <c r="I159" i="22"/>
  <c r="B159" i="22"/>
  <c r="C158" i="22"/>
  <c r="B158" i="22"/>
  <c r="I158" i="22"/>
  <c r="G158" i="22"/>
  <c r="I157" i="22"/>
  <c r="G157" i="22"/>
  <c r="B157" i="22"/>
  <c r="C157" i="22"/>
  <c r="B156" i="22"/>
  <c r="G156" i="22"/>
  <c r="I156" i="22"/>
  <c r="C156" i="22"/>
  <c r="C155" i="22"/>
  <c r="G155" i="22"/>
  <c r="B155" i="22"/>
  <c r="I155" i="22"/>
  <c r="I154" i="22"/>
  <c r="C154" i="22"/>
  <c r="G154" i="22"/>
  <c r="B154" i="22"/>
  <c r="B153" i="22"/>
  <c r="G153" i="22"/>
  <c r="I153" i="22"/>
  <c r="C153" i="22"/>
  <c r="B152" i="22"/>
  <c r="G152" i="22"/>
  <c r="I152" i="22"/>
  <c r="C152" i="22"/>
  <c r="B151" i="22"/>
  <c r="G151" i="22"/>
  <c r="C151" i="22"/>
  <c r="I150" i="22"/>
  <c r="G150" i="22"/>
  <c r="C150" i="22"/>
  <c r="B150" i="22"/>
  <c r="I149" i="22"/>
  <c r="G149" i="22"/>
  <c r="C149" i="22"/>
  <c r="B149" i="22"/>
  <c r="I148" i="22"/>
  <c r="G148" i="22"/>
  <c r="B148" i="22"/>
  <c r="C148" i="22"/>
  <c r="B147" i="22"/>
  <c r="A146" i="22"/>
  <c r="I147" i="22"/>
  <c r="G147" i="22"/>
  <c r="C147" i="22"/>
  <c r="I145" i="22"/>
  <c r="I95" i="20" s="1"/>
  <c r="K95" i="20" s="1"/>
  <c r="C145" i="22"/>
  <c r="F95" i="20" s="1"/>
  <c r="G145" i="22"/>
  <c r="G95" i="20" s="1"/>
  <c r="B145" i="22"/>
  <c r="I144" i="22"/>
  <c r="B144" i="22"/>
  <c r="G144" i="22"/>
  <c r="C144" i="22"/>
  <c r="C143" i="22"/>
  <c r="F93" i="20" s="1"/>
  <c r="B143" i="22"/>
  <c r="I143" i="22"/>
  <c r="I93" i="20" s="1"/>
  <c r="G143" i="22"/>
  <c r="G93" i="20" s="1"/>
  <c r="C142" i="22"/>
  <c r="F92" i="20" s="1"/>
  <c r="B142" i="22"/>
  <c r="I142" i="22"/>
  <c r="I92" i="20" s="1"/>
  <c r="K92" i="20" s="1"/>
  <c r="G142" i="22"/>
  <c r="G92" i="20" s="1"/>
  <c r="I141" i="22"/>
  <c r="I91" i="20" s="1"/>
  <c r="K91" i="20" s="1"/>
  <c r="C141" i="22"/>
  <c r="F91" i="20" s="1"/>
  <c r="B141" i="22"/>
  <c r="G141" i="22"/>
  <c r="G91" i="20" s="1"/>
  <c r="G140" i="22"/>
  <c r="B140" i="22"/>
  <c r="C140" i="22"/>
  <c r="I140" i="22"/>
  <c r="B139" i="22"/>
  <c r="G139" i="22"/>
  <c r="C139" i="22"/>
  <c r="I139" i="22"/>
  <c r="I138" i="22"/>
  <c r="I88" i="20" s="1"/>
  <c r="K88" i="20" s="1"/>
  <c r="B138" i="22"/>
  <c r="C138" i="22"/>
  <c r="F88" i="20" s="1"/>
  <c r="G138" i="22"/>
  <c r="G88" i="20" s="1"/>
  <c r="B137" i="22"/>
  <c r="C137" i="22"/>
  <c r="F87" i="20" s="1"/>
  <c r="G137" i="22"/>
  <c r="G87" i="20" s="1"/>
  <c r="I137" i="22"/>
  <c r="I87" i="20" s="1"/>
  <c r="C136" i="22"/>
  <c r="F86" i="20" s="1"/>
  <c r="B136" i="22"/>
  <c r="I136" i="22"/>
  <c r="I86" i="20" s="1"/>
  <c r="K86" i="20" s="1"/>
  <c r="G136" i="22"/>
  <c r="G86" i="20" s="1"/>
  <c r="B135" i="22"/>
  <c r="G135" i="22"/>
  <c r="G85" i="20" s="1"/>
  <c r="C135" i="22"/>
  <c r="F85" i="20" s="1"/>
  <c r="I135" i="22"/>
  <c r="I85" i="20" s="1"/>
  <c r="K85" i="20" s="1"/>
  <c r="C134" i="22"/>
  <c r="F84" i="20" s="1"/>
  <c r="B134" i="22"/>
  <c r="I134" i="22"/>
  <c r="I84" i="20" s="1"/>
  <c r="K84" i="20" s="1"/>
  <c r="G134" i="22"/>
  <c r="G84" i="20" s="1"/>
  <c r="B133" i="22"/>
  <c r="C133" i="22"/>
  <c r="F83" i="20" s="1"/>
  <c r="I133" i="22"/>
  <c r="I83" i="20" s="1"/>
  <c r="K83" i="20" s="1"/>
  <c r="G133" i="22"/>
  <c r="G83" i="20" s="1"/>
  <c r="G132" i="22"/>
  <c r="G82" i="20" s="1"/>
  <c r="C132" i="22"/>
  <c r="F82" i="20" s="1"/>
  <c r="I132" i="22"/>
  <c r="I82" i="20" s="1"/>
  <c r="K82" i="20" s="1"/>
  <c r="B132" i="22"/>
  <c r="I131" i="22"/>
  <c r="I81" i="20" s="1"/>
  <c r="G131" i="22"/>
  <c r="G81" i="20" s="1"/>
  <c r="B131" i="22"/>
  <c r="C131" i="22"/>
  <c r="F81" i="20" s="1"/>
  <c r="B130" i="22"/>
  <c r="C130" i="22"/>
  <c r="F80" i="20" s="1"/>
  <c r="G130" i="22"/>
  <c r="G80" i="20" s="1"/>
  <c r="I130" i="22"/>
  <c r="I80" i="20" s="1"/>
  <c r="K80" i="20" s="1"/>
  <c r="C129" i="22"/>
  <c r="B129" i="22"/>
  <c r="G129" i="22"/>
  <c r="I129" i="22"/>
  <c r="B128" i="22"/>
  <c r="G128" i="22"/>
  <c r="I128" i="22"/>
  <c r="C128" i="22"/>
  <c r="G126" i="22"/>
  <c r="G206" i="25" s="1"/>
  <c r="E126" i="22"/>
  <c r="E206" i="25" s="1"/>
  <c r="D126" i="22"/>
  <c r="D206" i="25" s="1"/>
  <c r="C126" i="22"/>
  <c r="B126" i="22"/>
  <c r="I126" i="22"/>
  <c r="I206" i="25" s="1"/>
  <c r="G125" i="22"/>
  <c r="G205" i="25" s="1"/>
  <c r="I125" i="22"/>
  <c r="I205" i="25" s="1"/>
  <c r="E125" i="22"/>
  <c r="E205" i="25" s="1"/>
  <c r="B125" i="22"/>
  <c r="C125" i="22"/>
  <c r="D125" i="22"/>
  <c r="D205" i="25" s="1"/>
  <c r="I124" i="22"/>
  <c r="G124" i="22"/>
  <c r="E124" i="22"/>
  <c r="D124" i="22"/>
  <c r="C124" i="22"/>
  <c r="F174" i="20" s="1"/>
  <c r="B124" i="22"/>
  <c r="B123" i="22"/>
  <c r="I123" i="22"/>
  <c r="I204" i="25" s="1"/>
  <c r="G123" i="22"/>
  <c r="G204" i="25" s="1"/>
  <c r="E123" i="22"/>
  <c r="E204" i="25" s="1"/>
  <c r="D123" i="22"/>
  <c r="D204" i="25" s="1"/>
  <c r="C123" i="22"/>
  <c r="I122" i="22"/>
  <c r="I203" i="25" s="1"/>
  <c r="G122" i="22"/>
  <c r="G203" i="25" s="1"/>
  <c r="B122" i="22"/>
  <c r="C122" i="22"/>
  <c r="E122" i="22"/>
  <c r="E203" i="25" s="1"/>
  <c r="D122" i="22"/>
  <c r="D203" i="25" s="1"/>
  <c r="C121" i="22"/>
  <c r="B121" i="22"/>
  <c r="D121" i="22"/>
  <c r="D202" i="25" s="1"/>
  <c r="G121" i="22"/>
  <c r="G202" i="25" s="1"/>
  <c r="I121" i="22"/>
  <c r="I202" i="25" s="1"/>
  <c r="E121" i="22"/>
  <c r="E202" i="25" s="1"/>
  <c r="B120" i="22"/>
  <c r="E120" i="22"/>
  <c r="C120" i="22"/>
  <c r="F170" i="20" s="1"/>
  <c r="D120" i="22"/>
  <c r="G120" i="22"/>
  <c r="I120" i="22"/>
  <c r="C119" i="22"/>
  <c r="F169" i="20" s="1"/>
  <c r="B119" i="22"/>
  <c r="D119" i="22"/>
  <c r="G119" i="22"/>
  <c r="E119" i="22"/>
  <c r="I119" i="22"/>
  <c r="I118" i="22"/>
  <c r="G118" i="22"/>
  <c r="D118" i="22"/>
  <c r="B118" i="22"/>
  <c r="C118" i="22"/>
  <c r="F168" i="20" s="1"/>
  <c r="E118" i="22"/>
  <c r="B117" i="22"/>
  <c r="M172" i="20"/>
  <c r="Q172" i="20" s="1"/>
  <c r="S172" i="20" s="1"/>
  <c r="D117" i="22"/>
  <c r="G117" i="22"/>
  <c r="I117" i="22"/>
  <c r="E117" i="22"/>
  <c r="C117" i="22"/>
  <c r="F167" i="20" s="1"/>
  <c r="C116" i="22"/>
  <c r="F166" i="20" s="1"/>
  <c r="B116" i="22"/>
  <c r="B115" i="22"/>
  <c r="C115" i="22"/>
  <c r="D115" i="22"/>
  <c r="D201" i="25" s="1"/>
  <c r="E115" i="22"/>
  <c r="E201" i="25" s="1"/>
  <c r="G115" i="22"/>
  <c r="G201" i="25" s="1"/>
  <c r="I115" i="22"/>
  <c r="I201" i="25" s="1"/>
  <c r="C114" i="22"/>
  <c r="B114" i="22"/>
  <c r="D114" i="22"/>
  <c r="D200" i="25" s="1"/>
  <c r="E114" i="22"/>
  <c r="E200" i="25" s="1"/>
  <c r="G114" i="22"/>
  <c r="G200" i="25" s="1"/>
  <c r="I114" i="22"/>
  <c r="I200" i="25" s="1"/>
  <c r="I113" i="22"/>
  <c r="B113" i="22"/>
  <c r="C113" i="22"/>
  <c r="F163" i="20" s="1"/>
  <c r="D113" i="22"/>
  <c r="E113" i="22"/>
  <c r="G113" i="22"/>
  <c r="E112" i="22"/>
  <c r="D112" i="22"/>
  <c r="G112" i="22"/>
  <c r="I112" i="22"/>
  <c r="C112" i="22"/>
  <c r="F162" i="20" s="1"/>
  <c r="B112" i="22"/>
  <c r="I110" i="22"/>
  <c r="G110" i="22"/>
  <c r="E110" i="22"/>
  <c r="D110" i="22"/>
  <c r="C110" i="22"/>
  <c r="F111" i="20" s="1"/>
  <c r="B110" i="22"/>
  <c r="I109" i="22"/>
  <c r="G109" i="22"/>
  <c r="E109" i="22"/>
  <c r="D109" i="22"/>
  <c r="C109" i="22"/>
  <c r="F110" i="20" s="1"/>
  <c r="B109" i="22"/>
  <c r="C108" i="22"/>
  <c r="F109" i="20" s="1"/>
  <c r="B108" i="22"/>
  <c r="D108" i="22"/>
  <c r="E108" i="22"/>
  <c r="G108" i="22"/>
  <c r="I108" i="22"/>
  <c r="I107" i="22"/>
  <c r="G107" i="22"/>
  <c r="E107" i="22"/>
  <c r="D107" i="22"/>
  <c r="C107" i="22"/>
  <c r="F108" i="20" s="1"/>
  <c r="B107" i="22"/>
  <c r="I106" i="22"/>
  <c r="G106" i="22"/>
  <c r="E106" i="22"/>
  <c r="D106" i="22"/>
  <c r="C106" i="22"/>
  <c r="F107" i="20" s="1"/>
  <c r="B106" i="22"/>
  <c r="B105" i="22"/>
  <c r="I105" i="22"/>
  <c r="G105" i="22"/>
  <c r="E105" i="22"/>
  <c r="D105" i="22"/>
  <c r="C105" i="22"/>
  <c r="F106" i="20" s="1"/>
  <c r="I104" i="22"/>
  <c r="I105" i="20" s="1"/>
  <c r="G104" i="22"/>
  <c r="G105" i="20" s="1"/>
  <c r="D104" i="22"/>
  <c r="C104" i="22"/>
  <c r="F105" i="20" s="1"/>
  <c r="B104" i="22"/>
  <c r="E104" i="22"/>
  <c r="I103" i="22"/>
  <c r="I104" i="20" s="1"/>
  <c r="K104" i="20" s="1"/>
  <c r="G103" i="22"/>
  <c r="G104" i="20" s="1"/>
  <c r="E103" i="22"/>
  <c r="D103" i="22"/>
  <c r="C103" i="22"/>
  <c r="F104" i="20" s="1"/>
  <c r="B103" i="22"/>
  <c r="I102" i="22"/>
  <c r="I103" i="20" s="1"/>
  <c r="K103" i="20" s="1"/>
  <c r="G102" i="22"/>
  <c r="G103" i="20" s="1"/>
  <c r="E102" i="22"/>
  <c r="D102" i="22"/>
  <c r="C102" i="22"/>
  <c r="F103" i="20" s="1"/>
  <c r="B102" i="22"/>
  <c r="E101" i="22"/>
  <c r="G101" i="22"/>
  <c r="G102" i="20" s="1"/>
  <c r="D101" i="22"/>
  <c r="C101" i="22"/>
  <c r="F102" i="20" s="1"/>
  <c r="B101" i="22"/>
  <c r="I101" i="22"/>
  <c r="I102" i="20" s="1"/>
  <c r="K102" i="20" s="1"/>
  <c r="B100" i="22"/>
  <c r="I100" i="22"/>
  <c r="I101" i="20" s="1"/>
  <c r="K101" i="20" s="1"/>
  <c r="G100" i="22"/>
  <c r="G101" i="20" s="1"/>
  <c r="E100" i="22"/>
  <c r="D100" i="22"/>
  <c r="C100" i="22"/>
  <c r="F101" i="20" s="1"/>
  <c r="E99" i="22"/>
  <c r="I99" i="22"/>
  <c r="I100" i="20" s="1"/>
  <c r="K100" i="20" s="1"/>
  <c r="G99" i="22"/>
  <c r="G100" i="20" s="1"/>
  <c r="D99" i="22"/>
  <c r="C99" i="22"/>
  <c r="F100" i="20" s="1"/>
  <c r="B99" i="22"/>
  <c r="I98" i="22"/>
  <c r="I99" i="20" s="1"/>
  <c r="K99" i="20" s="1"/>
  <c r="G98" i="22"/>
  <c r="G99" i="20" s="1"/>
  <c r="E98" i="22"/>
  <c r="D98" i="22"/>
  <c r="C98" i="22"/>
  <c r="F99" i="20" s="1"/>
  <c r="B98" i="22"/>
  <c r="C97" i="22"/>
  <c r="F98" i="20" s="1"/>
  <c r="D97" i="22"/>
  <c r="I97" i="22"/>
  <c r="I98" i="20" s="1"/>
  <c r="K98" i="20" s="1"/>
  <c r="E97" i="22"/>
  <c r="B97" i="22"/>
  <c r="G97" i="22"/>
  <c r="G98" i="20" s="1"/>
  <c r="I96" i="22"/>
  <c r="G96" i="22"/>
  <c r="E96" i="22"/>
  <c r="E172" i="25" s="1"/>
  <c r="D96" i="22"/>
  <c r="D172" i="25" s="1"/>
  <c r="C96" i="22"/>
  <c r="B96" i="22"/>
  <c r="G95" i="22"/>
  <c r="B95" i="22"/>
  <c r="C95" i="22"/>
  <c r="D95" i="22"/>
  <c r="D171" i="25" s="1"/>
  <c r="I95" i="22"/>
  <c r="E95" i="22"/>
  <c r="E171" i="25" s="1"/>
  <c r="B93" i="22"/>
  <c r="C93" i="22"/>
  <c r="F54" i="20" s="1"/>
  <c r="D93" i="22"/>
  <c r="E93" i="22"/>
  <c r="G93" i="22"/>
  <c r="G54" i="20" s="1"/>
  <c r="I93" i="22"/>
  <c r="I54" i="20" s="1"/>
  <c r="C92" i="22"/>
  <c r="I92" i="22"/>
  <c r="G92" i="22"/>
  <c r="E92" i="22"/>
  <c r="E149" i="25" s="1"/>
  <c r="D92" i="22"/>
  <c r="D149" i="25" s="1"/>
  <c r="B92" i="22"/>
  <c r="G91" i="22"/>
  <c r="I91" i="22"/>
  <c r="E91" i="22"/>
  <c r="E148" i="25" s="1"/>
  <c r="D91" i="22"/>
  <c r="D148" i="25" s="1"/>
  <c r="C91" i="22"/>
  <c r="B91" i="22"/>
  <c r="E90" i="22"/>
  <c r="E147" i="25" s="1"/>
  <c r="I90" i="22"/>
  <c r="B90" i="22"/>
  <c r="C90" i="22"/>
  <c r="D90" i="22"/>
  <c r="D147" i="25" s="1"/>
  <c r="G90" i="22"/>
  <c r="I89" i="22"/>
  <c r="G89" i="22"/>
  <c r="E89" i="22"/>
  <c r="E146" i="25" s="1"/>
  <c r="D89" i="22"/>
  <c r="D146" i="25" s="1"/>
  <c r="C89" i="22"/>
  <c r="B89" i="22"/>
  <c r="C87" i="22"/>
  <c r="I87" i="22"/>
  <c r="I141" i="25" s="1"/>
  <c r="G87" i="22"/>
  <c r="G141" i="25" s="1"/>
  <c r="B87" i="22"/>
  <c r="D87" i="22"/>
  <c r="D141" i="25" s="1"/>
  <c r="E87" i="22"/>
  <c r="E141" i="25" s="1"/>
  <c r="I86" i="22"/>
  <c r="I140" i="25" s="1"/>
  <c r="G86" i="22"/>
  <c r="G140" i="25" s="1"/>
  <c r="E86" i="22"/>
  <c r="E140" i="25" s="1"/>
  <c r="D86" i="22"/>
  <c r="D140" i="25" s="1"/>
  <c r="C86" i="22"/>
  <c r="B86" i="22"/>
  <c r="I85" i="22"/>
  <c r="I139" i="25" s="1"/>
  <c r="G85" i="22"/>
  <c r="G139" i="25" s="1"/>
  <c r="E85" i="22"/>
  <c r="E139" i="25" s="1"/>
  <c r="D85" i="22"/>
  <c r="D139" i="25" s="1"/>
  <c r="C85" i="22"/>
  <c r="B85" i="22"/>
  <c r="D84" i="22"/>
  <c r="D138" i="25" s="1"/>
  <c r="E84" i="22"/>
  <c r="E138" i="25" s="1"/>
  <c r="B84" i="22"/>
  <c r="I84" i="22"/>
  <c r="I138" i="25" s="1"/>
  <c r="G84" i="22"/>
  <c r="G138" i="25" s="1"/>
  <c r="C84" i="22"/>
  <c r="D83" i="22"/>
  <c r="D137" i="25" s="1"/>
  <c r="C83" i="22"/>
  <c r="B83" i="22"/>
  <c r="E83" i="22"/>
  <c r="E137" i="25" s="1"/>
  <c r="G83" i="22"/>
  <c r="G137" i="25" s="1"/>
  <c r="I83" i="22"/>
  <c r="I137" i="25" s="1"/>
  <c r="I82" i="22"/>
  <c r="G82" i="22"/>
  <c r="E82" i="22"/>
  <c r="D82" i="22"/>
  <c r="C82" i="22"/>
  <c r="F26" i="20" s="1"/>
  <c r="B82" i="22"/>
  <c r="G81" i="22"/>
  <c r="G136" i="25" s="1"/>
  <c r="E81" i="22"/>
  <c r="E136" i="25" s="1"/>
  <c r="D81" i="22"/>
  <c r="D136" i="25" s="1"/>
  <c r="C81" i="22"/>
  <c r="B81" i="22"/>
  <c r="I81" i="22"/>
  <c r="I136" i="25" s="1"/>
  <c r="I79" i="22"/>
  <c r="G79" i="22"/>
  <c r="E79" i="22"/>
  <c r="E134" i="25" s="1"/>
  <c r="D79" i="22"/>
  <c r="D134" i="25" s="1"/>
  <c r="C79" i="22"/>
  <c r="B79" i="22"/>
  <c r="E78" i="22"/>
  <c r="C78" i="22"/>
  <c r="F23" i="20" s="1"/>
  <c r="B78" i="22"/>
  <c r="D78" i="22"/>
  <c r="I78" i="22"/>
  <c r="I23" i="20" s="1"/>
  <c r="G78" i="22"/>
  <c r="G23" i="20" s="1"/>
  <c r="E77" i="22"/>
  <c r="E133" i="25" s="1"/>
  <c r="D77" i="22"/>
  <c r="D133" i="25" s="1"/>
  <c r="B77" i="22"/>
  <c r="I77" i="22"/>
  <c r="C77" i="22"/>
  <c r="G77" i="22"/>
  <c r="I76" i="22"/>
  <c r="G76" i="22"/>
  <c r="E76" i="22"/>
  <c r="E132" i="25" s="1"/>
  <c r="D76" i="22"/>
  <c r="D132" i="25" s="1"/>
  <c r="C76" i="22"/>
  <c r="B76" i="22"/>
  <c r="I75" i="22"/>
  <c r="G75" i="22"/>
  <c r="E75" i="22"/>
  <c r="E131" i="25" s="1"/>
  <c r="D75" i="22"/>
  <c r="D131" i="25" s="1"/>
  <c r="C75" i="22"/>
  <c r="B75" i="22"/>
  <c r="G74" i="22"/>
  <c r="G19" i="20" s="1"/>
  <c r="C74" i="22"/>
  <c r="F19" i="20" s="1"/>
  <c r="D74" i="22"/>
  <c r="B74" i="22"/>
  <c r="E74" i="22"/>
  <c r="I74" i="22"/>
  <c r="I19" i="20" s="1"/>
  <c r="I73" i="22"/>
  <c r="I18" i="20" s="1"/>
  <c r="K18" i="20" s="1"/>
  <c r="G73" i="22"/>
  <c r="G18" i="20" s="1"/>
  <c r="E73" i="22"/>
  <c r="D73" i="22"/>
  <c r="C73" i="22"/>
  <c r="F18" i="20" s="1"/>
  <c r="B73" i="22"/>
  <c r="G72" i="22"/>
  <c r="G17" i="20" s="1"/>
  <c r="I72" i="22"/>
  <c r="I17" i="20" s="1"/>
  <c r="K17" i="20" s="1"/>
  <c r="B72" i="22"/>
  <c r="C72" i="22"/>
  <c r="F17" i="20" s="1"/>
  <c r="D72" i="22"/>
  <c r="E72" i="22"/>
  <c r="B70" i="22"/>
  <c r="C70" i="22"/>
  <c r="F16" i="20" s="1"/>
  <c r="D70" i="22"/>
  <c r="E70" i="22"/>
  <c r="G70" i="22"/>
  <c r="G16" i="20" s="1"/>
  <c r="I70" i="22"/>
  <c r="I16" i="20" s="1"/>
  <c r="K16" i="20" s="1"/>
  <c r="D69" i="22"/>
  <c r="D129" i="25" s="1"/>
  <c r="I69" i="22"/>
  <c r="G69" i="22"/>
  <c r="E69" i="22"/>
  <c r="E129" i="25" s="1"/>
  <c r="C69" i="22"/>
  <c r="B69" i="22"/>
  <c r="G68" i="22"/>
  <c r="E68" i="22"/>
  <c r="E128" i="25" s="1"/>
  <c r="D68" i="22"/>
  <c r="D128" i="25" s="1"/>
  <c r="C68" i="22"/>
  <c r="B68" i="22"/>
  <c r="I68" i="22"/>
  <c r="E67" i="22"/>
  <c r="E127" i="25" s="1"/>
  <c r="D67" i="22"/>
  <c r="D127" i="25" s="1"/>
  <c r="C67" i="22"/>
  <c r="B67" i="22"/>
  <c r="G67" i="22"/>
  <c r="I67" i="22"/>
  <c r="I66" i="22"/>
  <c r="G66" i="22"/>
  <c r="E66" i="22"/>
  <c r="E126" i="25" s="1"/>
  <c r="D66" i="22"/>
  <c r="D126" i="25" s="1"/>
  <c r="C66" i="22"/>
  <c r="B66" i="22"/>
  <c r="B64" i="22"/>
  <c r="D64" i="22"/>
  <c r="C64" i="22"/>
  <c r="F11" i="20" s="1"/>
  <c r="E64" i="22"/>
  <c r="G64" i="22"/>
  <c r="G11" i="20" s="1"/>
  <c r="I64" i="22"/>
  <c r="I11" i="20" s="1"/>
  <c r="K11" i="20" s="1"/>
  <c r="I63" i="22"/>
  <c r="I10" i="20" s="1"/>
  <c r="K10" i="20" s="1"/>
  <c r="G63" i="22"/>
  <c r="G10" i="20" s="1"/>
  <c r="E63" i="22"/>
  <c r="D63" i="22"/>
  <c r="C63" i="22"/>
  <c r="F10" i="20" s="1"/>
  <c r="B63" i="22"/>
  <c r="I62" i="22"/>
  <c r="I9" i="20" s="1"/>
  <c r="K9" i="20" s="1"/>
  <c r="G62" i="22"/>
  <c r="G9" i="20" s="1"/>
  <c r="D62" i="22"/>
  <c r="C62" i="22"/>
  <c r="F9" i="20" s="1"/>
  <c r="B62" i="22"/>
  <c r="E62" i="22"/>
  <c r="G61" i="22"/>
  <c r="G8" i="20" s="1"/>
  <c r="I61" i="22"/>
  <c r="I8" i="20" s="1"/>
  <c r="K8" i="20" s="1"/>
  <c r="B61" i="22"/>
  <c r="C61" i="22"/>
  <c r="F8" i="20" s="1"/>
  <c r="D61" i="22"/>
  <c r="E61" i="22"/>
  <c r="B60" i="22"/>
  <c r="C60" i="22"/>
  <c r="F7" i="20" s="1"/>
  <c r="D60" i="22"/>
  <c r="E60" i="22"/>
  <c r="G60" i="22"/>
  <c r="G7" i="20" s="1"/>
  <c r="I60" i="22"/>
  <c r="I7" i="20" s="1"/>
  <c r="B59" i="22"/>
  <c r="C59" i="22"/>
  <c r="F6" i="20" s="1"/>
  <c r="D59" i="22"/>
  <c r="E59" i="22"/>
  <c r="G59" i="22"/>
  <c r="G6" i="20" s="1"/>
  <c r="I59" i="22"/>
  <c r="I6" i="20" s="1"/>
  <c r="B58" i="22"/>
  <c r="C58" i="22"/>
  <c r="F5" i="20" s="1"/>
  <c r="D58" i="22"/>
  <c r="E58" i="22"/>
  <c r="G58" i="22"/>
  <c r="G5" i="20" s="1"/>
  <c r="I58" i="22"/>
  <c r="I5" i="20" s="1"/>
  <c r="I57" i="22"/>
  <c r="I4" i="20" s="1"/>
  <c r="G57" i="22"/>
  <c r="G4" i="20" s="1"/>
  <c r="E57" i="22"/>
  <c r="D57" i="22"/>
  <c r="C57" i="22"/>
  <c r="F4" i="20" s="1"/>
  <c r="B57" i="22"/>
  <c r="I56" i="22"/>
  <c r="I3" i="20" s="1"/>
  <c r="G56" i="22"/>
  <c r="G3" i="20" s="1"/>
  <c r="E56" i="22"/>
  <c r="D56" i="22"/>
  <c r="C56" i="22"/>
  <c r="F3" i="20" s="1"/>
  <c r="B56" i="22"/>
  <c r="D18" i="10"/>
  <c r="C21" i="14"/>
  <c r="E21" i="14" s="1"/>
  <c r="D18" i="13"/>
  <c r="D19" i="14"/>
  <c r="C20" i="12"/>
  <c r="C20" i="14"/>
  <c r="E20" i="14" s="1"/>
  <c r="C19" i="14"/>
  <c r="C21" i="12"/>
  <c r="C18" i="13"/>
  <c r="D20" i="12"/>
  <c r="C19" i="12"/>
  <c r="D18" i="12"/>
  <c r="C18" i="10"/>
  <c r="C18" i="9"/>
  <c r="D21" i="14"/>
  <c r="C18" i="12"/>
  <c r="D20" i="14"/>
  <c r="D21" i="12"/>
  <c r="C18" i="11"/>
  <c r="D19" i="12"/>
  <c r="C22" i="14"/>
  <c r="E22" i="14" s="1"/>
  <c r="D18" i="9"/>
  <c r="D22" i="14"/>
  <c r="D18" i="11"/>
  <c r="A12" i="21"/>
  <c r="C12" i="21" s="1"/>
  <c r="A14" i="22"/>
  <c r="C14" i="22" s="1"/>
  <c r="A11" i="21"/>
  <c r="C11" i="21" s="1"/>
  <c r="A13" i="22"/>
  <c r="C13" i="22" s="1"/>
  <c r="A10" i="21"/>
  <c r="C10" i="21" s="1"/>
  <c r="A12" i="22"/>
  <c r="C12" i="22" s="1"/>
  <c r="A14" i="21"/>
  <c r="C14" i="21" s="1"/>
  <c r="A16" i="22"/>
  <c r="C16" i="22" s="1"/>
  <c r="A13" i="21"/>
  <c r="C13" i="21" s="1"/>
  <c r="A15" i="22"/>
  <c r="C15" i="22" s="1"/>
  <c r="A9" i="21"/>
  <c r="C9" i="21" s="1"/>
  <c r="A11" i="22"/>
  <c r="C11" i="22" s="1"/>
  <c r="D116" i="22"/>
  <c r="E116" i="22"/>
  <c r="N109" i="20" l="1"/>
  <c r="T109" i="20" s="1"/>
  <c r="V109" i="20" s="1"/>
  <c r="N244" i="20"/>
  <c r="T244" i="20" s="1"/>
  <c r="V244" i="20" s="1"/>
  <c r="N250" i="20"/>
  <c r="T250" i="20" s="1"/>
  <c r="N241" i="20"/>
  <c r="T241" i="20" s="1"/>
  <c r="V241" i="20" s="1"/>
  <c r="N176" i="20"/>
  <c r="T176" i="20" s="1"/>
  <c r="V176" i="20" s="1"/>
  <c r="N254" i="20"/>
  <c r="T254" i="20" s="1"/>
  <c r="N238" i="20"/>
  <c r="T238" i="20" s="1"/>
  <c r="V238" i="20" s="1"/>
  <c r="N29" i="20"/>
  <c r="T29" i="20" s="1"/>
  <c r="V29" i="20" s="1"/>
  <c r="N239" i="20"/>
  <c r="T239" i="20" s="1"/>
  <c r="V239" i="20" s="1"/>
  <c r="N251" i="20"/>
  <c r="T251" i="20" s="1"/>
  <c r="V251" i="20" s="1"/>
  <c r="N107" i="20"/>
  <c r="T107" i="20" s="1"/>
  <c r="V107" i="20" s="1"/>
  <c r="N173" i="20"/>
  <c r="T173" i="20" s="1"/>
  <c r="V173" i="20" s="1"/>
  <c r="N175" i="20"/>
  <c r="T175" i="20" s="1"/>
  <c r="V175" i="20" s="1"/>
  <c r="N243" i="20"/>
  <c r="T243" i="20" s="1"/>
  <c r="N242" i="20"/>
  <c r="T242" i="20" s="1"/>
  <c r="V242" i="20" s="1"/>
  <c r="N245" i="20"/>
  <c r="T245" i="20" s="1"/>
  <c r="V245" i="20" s="1"/>
  <c r="N111" i="20"/>
  <c r="T111" i="20" s="1"/>
  <c r="V111" i="20" s="1"/>
  <c r="N269" i="20"/>
  <c r="T269" i="20" s="1"/>
  <c r="V269" i="20" s="1"/>
  <c r="I134" i="25"/>
  <c r="I24" i="20"/>
  <c r="G134" i="25"/>
  <c r="G24" i="20"/>
  <c r="N23" i="20"/>
  <c r="T23" i="20" s="1"/>
  <c r="V23" i="20" s="1"/>
  <c r="K23" i="20"/>
  <c r="I133" i="25"/>
  <c r="I22" i="20"/>
  <c r="K22" i="20" s="1"/>
  <c r="G133" i="25"/>
  <c r="G22" i="20"/>
  <c r="I132" i="25"/>
  <c r="I21" i="20"/>
  <c r="G132" i="25"/>
  <c r="G21" i="20"/>
  <c r="I131" i="25"/>
  <c r="I20" i="20"/>
  <c r="K20" i="20" s="1"/>
  <c r="G131" i="25"/>
  <c r="G20" i="20"/>
  <c r="N19" i="20"/>
  <c r="T19" i="20" s="1"/>
  <c r="V19" i="20" s="1"/>
  <c r="K19" i="20"/>
  <c r="I129" i="25"/>
  <c r="I15" i="20"/>
  <c r="G129" i="25"/>
  <c r="G15" i="20"/>
  <c r="N252" i="20"/>
  <c r="T252" i="20" s="1"/>
  <c r="V252" i="20" s="1"/>
  <c r="G303" i="20"/>
  <c r="F303" i="20"/>
  <c r="J234" i="25"/>
  <c r="K234" i="25"/>
  <c r="F122" i="20"/>
  <c r="N249" i="20"/>
  <c r="T249" i="20" s="1"/>
  <c r="V249" i="20" s="1"/>
  <c r="F315" i="20"/>
  <c r="F310" i="20"/>
  <c r="F308" i="20"/>
  <c r="F304" i="20"/>
  <c r="F120" i="20"/>
  <c r="F314" i="20"/>
  <c r="F311" i="20"/>
  <c r="F309" i="20"/>
  <c r="F306" i="20"/>
  <c r="F119" i="20"/>
  <c r="F115" i="20"/>
  <c r="F312" i="20"/>
  <c r="F307" i="20"/>
  <c r="F118" i="20"/>
  <c r="F313" i="20"/>
  <c r="F305" i="20"/>
  <c r="F116" i="20"/>
  <c r="F215" i="20"/>
  <c r="I215" i="20"/>
  <c r="K215" i="20" s="1"/>
  <c r="G215" i="20"/>
  <c r="F214" i="20"/>
  <c r="F213" i="20"/>
  <c r="F212" i="20"/>
  <c r="F211" i="20"/>
  <c r="F210" i="20"/>
  <c r="F209" i="20"/>
  <c r="F208" i="20"/>
  <c r="G237" i="25"/>
  <c r="G236" i="25"/>
  <c r="I236" i="25"/>
  <c r="G235" i="25"/>
  <c r="I235" i="25"/>
  <c r="I234" i="25"/>
  <c r="G234" i="25"/>
  <c r="G233" i="25"/>
  <c r="I233" i="25"/>
  <c r="I232" i="25"/>
  <c r="G232" i="25"/>
  <c r="I231" i="25"/>
  <c r="G231" i="25"/>
  <c r="I230" i="25"/>
  <c r="G230" i="25"/>
  <c r="F198" i="20"/>
  <c r="I229" i="25"/>
  <c r="F197" i="20"/>
  <c r="F196" i="20"/>
  <c r="F178" i="20"/>
  <c r="F177" i="20"/>
  <c r="F161" i="20"/>
  <c r="F160" i="20"/>
  <c r="O160" i="20" s="1"/>
  <c r="P160" i="20" s="1"/>
  <c r="F159" i="20"/>
  <c r="F158" i="20"/>
  <c r="F157" i="20"/>
  <c r="F156" i="20"/>
  <c r="F155" i="20"/>
  <c r="F154" i="20"/>
  <c r="F153" i="20"/>
  <c r="F152" i="20"/>
  <c r="F151" i="20"/>
  <c r="F121" i="20"/>
  <c r="F131" i="20"/>
  <c r="F130" i="20"/>
  <c r="F129" i="20"/>
  <c r="F128" i="20"/>
  <c r="F127" i="20"/>
  <c r="F126" i="20"/>
  <c r="F125" i="20"/>
  <c r="F124" i="20"/>
  <c r="F123" i="20"/>
  <c r="F117" i="20"/>
  <c r="H160" i="20"/>
  <c r="G315" i="20"/>
  <c r="M314" i="20"/>
  <c r="Q314" i="20" s="1"/>
  <c r="S314" i="20" s="1"/>
  <c r="J314" i="20"/>
  <c r="I314" i="20"/>
  <c r="K314" i="20" s="1"/>
  <c r="H314" i="20"/>
  <c r="G314" i="20"/>
  <c r="M313" i="20"/>
  <c r="Q313" i="20" s="1"/>
  <c r="S313" i="20" s="1"/>
  <c r="J313" i="20"/>
  <c r="I313" i="20"/>
  <c r="K313" i="20" s="1"/>
  <c r="H313" i="20"/>
  <c r="G313" i="20"/>
  <c r="M312" i="20"/>
  <c r="Q312" i="20" s="1"/>
  <c r="S312" i="20" s="1"/>
  <c r="J312" i="20"/>
  <c r="I312" i="20"/>
  <c r="K312" i="20" s="1"/>
  <c r="H312" i="20"/>
  <c r="G312" i="20"/>
  <c r="M311" i="20"/>
  <c r="Q311" i="20" s="1"/>
  <c r="S311" i="20" s="1"/>
  <c r="J311" i="20"/>
  <c r="I311" i="20"/>
  <c r="K311" i="20" s="1"/>
  <c r="H311" i="20"/>
  <c r="G311" i="20"/>
  <c r="M310" i="20"/>
  <c r="Q310" i="20" s="1"/>
  <c r="S310" i="20" s="1"/>
  <c r="J310" i="20"/>
  <c r="I310" i="20"/>
  <c r="K310" i="20" s="1"/>
  <c r="H310" i="20"/>
  <c r="G310" i="20"/>
  <c r="M309" i="20"/>
  <c r="Q309" i="20" s="1"/>
  <c r="S309" i="20" s="1"/>
  <c r="J309" i="20"/>
  <c r="I309" i="20"/>
  <c r="K309" i="20" s="1"/>
  <c r="H309" i="20"/>
  <c r="G309" i="20"/>
  <c r="M308" i="20"/>
  <c r="Q308" i="20" s="1"/>
  <c r="S308" i="20" s="1"/>
  <c r="J308" i="20"/>
  <c r="I308" i="20"/>
  <c r="K308" i="20" s="1"/>
  <c r="H308" i="20"/>
  <c r="G308" i="20"/>
  <c r="M307" i="20"/>
  <c r="Q307" i="20" s="1"/>
  <c r="S307" i="20" s="1"/>
  <c r="J307" i="20"/>
  <c r="I307" i="20"/>
  <c r="K307" i="20" s="1"/>
  <c r="H307" i="20"/>
  <c r="G307" i="20"/>
  <c r="M306" i="20"/>
  <c r="Q306" i="20" s="1"/>
  <c r="S306" i="20" s="1"/>
  <c r="J306" i="20"/>
  <c r="I306" i="20"/>
  <c r="K306" i="20" s="1"/>
  <c r="H306" i="20"/>
  <c r="G306" i="20"/>
  <c r="M305" i="20"/>
  <c r="Q305" i="20" s="1"/>
  <c r="S305" i="20" s="1"/>
  <c r="J305" i="20"/>
  <c r="I305" i="20"/>
  <c r="K305" i="20" s="1"/>
  <c r="H305" i="20"/>
  <c r="G305" i="20"/>
  <c r="M304" i="20"/>
  <c r="Q304" i="20" s="1"/>
  <c r="S304" i="20" s="1"/>
  <c r="J304" i="20"/>
  <c r="I304" i="20"/>
  <c r="K304" i="20" s="1"/>
  <c r="H304" i="20"/>
  <c r="G304" i="20"/>
  <c r="M303" i="20"/>
  <c r="Q303" i="20" s="1"/>
  <c r="S303" i="20" s="1"/>
  <c r="J303" i="20"/>
  <c r="I303" i="20"/>
  <c r="K303" i="20" s="1"/>
  <c r="H303" i="20"/>
  <c r="J212" i="20"/>
  <c r="H211" i="20"/>
  <c r="G211" i="20"/>
  <c r="M211" i="20"/>
  <c r="Q211" i="20" s="1"/>
  <c r="S211" i="20" s="1"/>
  <c r="I210" i="20"/>
  <c r="K210" i="20" s="1"/>
  <c r="H210" i="20"/>
  <c r="M210" i="20"/>
  <c r="Q210" i="20" s="1"/>
  <c r="S210" i="20" s="1"/>
  <c r="J210" i="20"/>
  <c r="H209" i="20"/>
  <c r="G209" i="20"/>
  <c r="J209" i="20"/>
  <c r="I208" i="20"/>
  <c r="K208" i="20" s="1"/>
  <c r="G208" i="20"/>
  <c r="M208" i="20"/>
  <c r="Q208" i="20" s="1"/>
  <c r="S208" i="20" s="1"/>
  <c r="J208" i="20"/>
  <c r="H207" i="20"/>
  <c r="G207" i="20"/>
  <c r="M207" i="20"/>
  <c r="Q207" i="20" s="1"/>
  <c r="S207" i="20" s="1"/>
  <c r="J207" i="20"/>
  <c r="H206" i="20"/>
  <c r="I206" i="20"/>
  <c r="K206" i="20" s="1"/>
  <c r="J206" i="20"/>
  <c r="G205" i="20"/>
  <c r="I205" i="20"/>
  <c r="K205" i="20" s="1"/>
  <c r="M205" i="20"/>
  <c r="Q205" i="20" s="1"/>
  <c r="S205" i="20" s="1"/>
  <c r="J205" i="20"/>
  <c r="H204" i="20"/>
  <c r="I204" i="20"/>
  <c r="K204" i="20" s="1"/>
  <c r="J204" i="20"/>
  <c r="M203" i="20"/>
  <c r="Q203" i="20" s="1"/>
  <c r="S203" i="20" s="1"/>
  <c r="I203" i="20"/>
  <c r="K203" i="20" s="1"/>
  <c r="H203" i="20"/>
  <c r="I202" i="20"/>
  <c r="K202" i="20" s="1"/>
  <c r="G202" i="20"/>
  <c r="M202" i="20"/>
  <c r="Q202" i="20" s="1"/>
  <c r="S202" i="20" s="1"/>
  <c r="J202" i="20"/>
  <c r="I201" i="20"/>
  <c r="K201" i="20" s="1"/>
  <c r="G201" i="20"/>
  <c r="M201" i="20"/>
  <c r="Q201" i="20" s="1"/>
  <c r="S201" i="20" s="1"/>
  <c r="I200" i="20"/>
  <c r="K200" i="20" s="1"/>
  <c r="H200" i="20"/>
  <c r="J216" i="20"/>
  <c r="H215" i="20"/>
  <c r="M215" i="20"/>
  <c r="Q215" i="20" s="1"/>
  <c r="S215" i="20" s="1"/>
  <c r="J215" i="20"/>
  <c r="H214" i="20"/>
  <c r="M214" i="20"/>
  <c r="Q214" i="20" s="1"/>
  <c r="S214" i="20" s="1"/>
  <c r="J214" i="20"/>
  <c r="I214" i="20"/>
  <c r="K214" i="20" s="1"/>
  <c r="G214" i="20"/>
  <c r="I213" i="20"/>
  <c r="K213" i="20" s="1"/>
  <c r="G213" i="20"/>
  <c r="H213" i="20"/>
  <c r="M213" i="20"/>
  <c r="Q213" i="20" s="1"/>
  <c r="S213" i="20" s="1"/>
  <c r="J213" i="20"/>
  <c r="I212" i="20"/>
  <c r="K212" i="20" s="1"/>
  <c r="H212" i="20"/>
  <c r="G212" i="20"/>
  <c r="M212" i="20"/>
  <c r="Q212" i="20" s="1"/>
  <c r="S212" i="20" s="1"/>
  <c r="I211" i="20"/>
  <c r="K211" i="20" s="1"/>
  <c r="J211" i="20"/>
  <c r="G210" i="20"/>
  <c r="I209" i="20"/>
  <c r="K209" i="20" s="1"/>
  <c r="M209" i="20"/>
  <c r="Q209" i="20" s="1"/>
  <c r="S209" i="20" s="1"/>
  <c r="H208" i="20"/>
  <c r="I207" i="20"/>
  <c r="K207" i="20" s="1"/>
  <c r="F207" i="20"/>
  <c r="G206" i="20"/>
  <c r="M206" i="20"/>
  <c r="Q206" i="20" s="1"/>
  <c r="S206" i="20" s="1"/>
  <c r="H205" i="20"/>
  <c r="G204" i="20"/>
  <c r="M204" i="20"/>
  <c r="Q204" i="20" s="1"/>
  <c r="S204" i="20" s="1"/>
  <c r="J203" i="20"/>
  <c r="G203" i="20"/>
  <c r="H202" i="20"/>
  <c r="H201" i="20"/>
  <c r="J201" i="20"/>
  <c r="G200" i="20"/>
  <c r="M200" i="20"/>
  <c r="Q200" i="20" s="1"/>
  <c r="S200" i="20" s="1"/>
  <c r="J200" i="20"/>
  <c r="I199" i="20"/>
  <c r="K199" i="20" s="1"/>
  <c r="H199" i="20"/>
  <c r="G199" i="20"/>
  <c r="M199" i="20"/>
  <c r="Q199" i="20" s="1"/>
  <c r="S199" i="20" s="1"/>
  <c r="J199" i="20"/>
  <c r="I198" i="20"/>
  <c r="K198" i="20" s="1"/>
  <c r="H198" i="20"/>
  <c r="G198" i="20"/>
  <c r="M198" i="20"/>
  <c r="Q198" i="20" s="1"/>
  <c r="S198" i="20" s="1"/>
  <c r="J198" i="20"/>
  <c r="H197" i="20"/>
  <c r="J197" i="20"/>
  <c r="M197" i="20"/>
  <c r="Q197" i="20" s="1"/>
  <c r="S197" i="20" s="1"/>
  <c r="I197" i="20"/>
  <c r="K197" i="20" s="1"/>
  <c r="G197" i="20"/>
  <c r="I196" i="20"/>
  <c r="K196" i="20" s="1"/>
  <c r="G196" i="20"/>
  <c r="H196" i="20"/>
  <c r="M196" i="20"/>
  <c r="Q196" i="20" s="1"/>
  <c r="S196" i="20" s="1"/>
  <c r="J196" i="20"/>
  <c r="M179" i="20"/>
  <c r="Q179" i="20" s="1"/>
  <c r="S179" i="20" s="1"/>
  <c r="J179" i="20"/>
  <c r="I178" i="20"/>
  <c r="K178" i="20" s="1"/>
  <c r="H178" i="20"/>
  <c r="G178" i="20"/>
  <c r="M178" i="20"/>
  <c r="Q178" i="20" s="1"/>
  <c r="S178" i="20" s="1"/>
  <c r="J178" i="20"/>
  <c r="I177" i="20"/>
  <c r="K177" i="20" s="1"/>
  <c r="H177" i="20"/>
  <c r="G177" i="20"/>
  <c r="M177" i="20"/>
  <c r="Q177" i="20" s="1"/>
  <c r="S177" i="20" s="1"/>
  <c r="J177" i="20"/>
  <c r="M161" i="20"/>
  <c r="Q161" i="20" s="1"/>
  <c r="S161" i="20" s="1"/>
  <c r="J161" i="20"/>
  <c r="I161" i="20"/>
  <c r="K161" i="20" s="1"/>
  <c r="H161" i="20"/>
  <c r="G161" i="20"/>
  <c r="M160" i="20"/>
  <c r="Q160" i="20" s="1"/>
  <c r="S160" i="20" s="1"/>
  <c r="J160" i="20"/>
  <c r="I160" i="20"/>
  <c r="K160" i="20" s="1"/>
  <c r="H315" i="20"/>
  <c r="G160" i="20"/>
  <c r="G159" i="20"/>
  <c r="H159" i="20"/>
  <c r="I159" i="20"/>
  <c r="K159" i="20" s="1"/>
  <c r="J159" i="20"/>
  <c r="M159" i="20"/>
  <c r="Q159" i="20" s="1"/>
  <c r="S159" i="20" s="1"/>
  <c r="M158" i="20"/>
  <c r="Q158" i="20" s="1"/>
  <c r="S158" i="20" s="1"/>
  <c r="J158" i="20"/>
  <c r="I158" i="20"/>
  <c r="K158" i="20" s="1"/>
  <c r="H158" i="20"/>
  <c r="G158" i="20"/>
  <c r="M157" i="20"/>
  <c r="Q157" i="20" s="1"/>
  <c r="S157" i="20" s="1"/>
  <c r="J157" i="20"/>
  <c r="I157" i="20"/>
  <c r="K157" i="20" s="1"/>
  <c r="H157" i="20"/>
  <c r="G157" i="20"/>
  <c r="M156" i="20"/>
  <c r="Q156" i="20" s="1"/>
  <c r="S156" i="20" s="1"/>
  <c r="J156" i="20"/>
  <c r="I156" i="20"/>
  <c r="H156" i="20"/>
  <c r="G156" i="20"/>
  <c r="M155" i="20"/>
  <c r="Q155" i="20" s="1"/>
  <c r="S155" i="20" s="1"/>
  <c r="I155" i="20"/>
  <c r="K155" i="20" s="1"/>
  <c r="G155" i="20"/>
  <c r="H155" i="20"/>
  <c r="J155" i="20"/>
  <c r="H154" i="20"/>
  <c r="M154" i="20"/>
  <c r="Q154" i="20" s="1"/>
  <c r="S154" i="20" s="1"/>
  <c r="J154" i="20"/>
  <c r="G154" i="20"/>
  <c r="I154" i="20"/>
  <c r="K154" i="20" s="1"/>
  <c r="M153" i="20"/>
  <c r="Q153" i="20" s="1"/>
  <c r="S153" i="20" s="1"/>
  <c r="J153" i="20"/>
  <c r="I153" i="20"/>
  <c r="K153" i="20" s="1"/>
  <c r="H153" i="20"/>
  <c r="G153" i="20"/>
  <c r="J152" i="20"/>
  <c r="M152" i="20"/>
  <c r="Q152" i="20" s="1"/>
  <c r="S152" i="20" s="1"/>
  <c r="I152" i="20"/>
  <c r="K152" i="20" s="1"/>
  <c r="H152" i="20"/>
  <c r="G152" i="20"/>
  <c r="M151" i="20"/>
  <c r="Q151" i="20" s="1"/>
  <c r="S151" i="20" s="1"/>
  <c r="J151" i="20"/>
  <c r="I151" i="20"/>
  <c r="K151" i="20" s="1"/>
  <c r="H151" i="20"/>
  <c r="G151" i="20"/>
  <c r="M150" i="20"/>
  <c r="Q150" i="20" s="1"/>
  <c r="S150" i="20" s="1"/>
  <c r="J150" i="20"/>
  <c r="I150" i="20"/>
  <c r="K150" i="20" s="1"/>
  <c r="M131" i="20"/>
  <c r="Q131" i="20" s="1"/>
  <c r="S131" i="20" s="1"/>
  <c r="J131" i="20"/>
  <c r="I131" i="20"/>
  <c r="K131" i="20" s="1"/>
  <c r="H131" i="20"/>
  <c r="G131" i="20"/>
  <c r="M130" i="20"/>
  <c r="Q130" i="20" s="1"/>
  <c r="S130" i="20" s="1"/>
  <c r="J130" i="20"/>
  <c r="I130" i="20"/>
  <c r="K130" i="20" s="1"/>
  <c r="H130" i="20"/>
  <c r="G130" i="20"/>
  <c r="M129" i="20"/>
  <c r="Q129" i="20" s="1"/>
  <c r="S129" i="20" s="1"/>
  <c r="J129" i="20"/>
  <c r="I129" i="20"/>
  <c r="K129" i="20" s="1"/>
  <c r="H129" i="20"/>
  <c r="G129" i="20"/>
  <c r="M128" i="20"/>
  <c r="Q128" i="20" s="1"/>
  <c r="S128" i="20" s="1"/>
  <c r="J128" i="20"/>
  <c r="I128" i="20"/>
  <c r="K128" i="20" s="1"/>
  <c r="H128" i="20"/>
  <c r="G128" i="20"/>
  <c r="G127" i="20"/>
  <c r="M127" i="20"/>
  <c r="Q127" i="20" s="1"/>
  <c r="S127" i="20" s="1"/>
  <c r="J127" i="20"/>
  <c r="I127" i="20"/>
  <c r="K127" i="20" s="1"/>
  <c r="H127" i="20"/>
  <c r="M126" i="20"/>
  <c r="Q126" i="20" s="1"/>
  <c r="S126" i="20" s="1"/>
  <c r="I126" i="20"/>
  <c r="K126" i="20" s="1"/>
  <c r="G126" i="20"/>
  <c r="H126" i="20"/>
  <c r="J126" i="20"/>
  <c r="H125" i="20"/>
  <c r="J125" i="20"/>
  <c r="M125" i="20"/>
  <c r="Q125" i="20" s="1"/>
  <c r="S125" i="20" s="1"/>
  <c r="I125" i="20"/>
  <c r="K125" i="20" s="1"/>
  <c r="G125" i="20"/>
  <c r="G124" i="20"/>
  <c r="H124" i="20"/>
  <c r="I124" i="20"/>
  <c r="K124" i="20" s="1"/>
  <c r="J124" i="20"/>
  <c r="M124" i="20"/>
  <c r="Q124" i="20" s="1"/>
  <c r="S124" i="20" s="1"/>
  <c r="M123" i="20"/>
  <c r="Q123" i="20" s="1"/>
  <c r="S123" i="20" s="1"/>
  <c r="J123" i="20"/>
  <c r="I123" i="20"/>
  <c r="K123" i="20" s="1"/>
  <c r="H123" i="20"/>
  <c r="G123" i="20"/>
  <c r="M122" i="20"/>
  <c r="Q122" i="20" s="1"/>
  <c r="S122" i="20" s="1"/>
  <c r="J122" i="20"/>
  <c r="I122" i="20"/>
  <c r="K122" i="20" s="1"/>
  <c r="H122" i="20"/>
  <c r="G122" i="20"/>
  <c r="M121" i="20"/>
  <c r="Q121" i="20" s="1"/>
  <c r="S121" i="20" s="1"/>
  <c r="J121" i="20"/>
  <c r="I121" i="20"/>
  <c r="K121" i="20" s="1"/>
  <c r="H121" i="20"/>
  <c r="G121" i="20"/>
  <c r="M120" i="20"/>
  <c r="Q120" i="20" s="1"/>
  <c r="S120" i="20" s="1"/>
  <c r="I120" i="20"/>
  <c r="K120" i="20" s="1"/>
  <c r="G120" i="20"/>
  <c r="H120" i="20"/>
  <c r="J120" i="20"/>
  <c r="H119" i="20"/>
  <c r="M119" i="20"/>
  <c r="Q119" i="20" s="1"/>
  <c r="S119" i="20" s="1"/>
  <c r="J119" i="20"/>
  <c r="G119" i="20"/>
  <c r="I119" i="20"/>
  <c r="K119" i="20" s="1"/>
  <c r="M118" i="20"/>
  <c r="Q118" i="20" s="1"/>
  <c r="S118" i="20" s="1"/>
  <c r="J118" i="20"/>
  <c r="I118" i="20"/>
  <c r="K118" i="20" s="1"/>
  <c r="H118" i="20"/>
  <c r="G118" i="20"/>
  <c r="J117" i="20"/>
  <c r="M117" i="20"/>
  <c r="Q117" i="20" s="1"/>
  <c r="S117" i="20" s="1"/>
  <c r="I117" i="20"/>
  <c r="K117" i="20" s="1"/>
  <c r="H117" i="20"/>
  <c r="G117" i="20"/>
  <c r="M116" i="20"/>
  <c r="Q116" i="20" s="1"/>
  <c r="S116" i="20" s="1"/>
  <c r="J116" i="20"/>
  <c r="I116" i="20"/>
  <c r="K116" i="20" s="1"/>
  <c r="H116" i="20"/>
  <c r="G116" i="20"/>
  <c r="M115" i="20"/>
  <c r="Q115" i="20" s="1"/>
  <c r="S115" i="20" s="1"/>
  <c r="J115" i="20"/>
  <c r="I115" i="20"/>
  <c r="K115" i="20" s="1"/>
  <c r="H115" i="20"/>
  <c r="G115" i="20"/>
  <c r="M114" i="20"/>
  <c r="Q114" i="20" s="1"/>
  <c r="S114" i="20" s="1"/>
  <c r="J114" i="20"/>
  <c r="I114" i="20"/>
  <c r="K114" i="20" s="1"/>
  <c r="H114" i="20"/>
  <c r="G114" i="20"/>
  <c r="F114" i="20"/>
  <c r="F113" i="20"/>
  <c r="G113" i="20"/>
  <c r="H113" i="20"/>
  <c r="I113" i="20"/>
  <c r="K113" i="20" s="1"/>
  <c r="J113" i="20"/>
  <c r="M113" i="20"/>
  <c r="Q113" i="20" s="1"/>
  <c r="S113" i="20" s="1"/>
  <c r="G112" i="20"/>
  <c r="F112" i="20"/>
  <c r="M112" i="20"/>
  <c r="Q112" i="20" s="1"/>
  <c r="S112" i="20" s="1"/>
  <c r="J112" i="20"/>
  <c r="I112" i="20"/>
  <c r="K112" i="20" s="1"/>
  <c r="H112" i="20"/>
  <c r="F235" i="25"/>
  <c r="H234" i="25"/>
  <c r="K229" i="25"/>
  <c r="J229" i="25"/>
  <c r="H233" i="25"/>
  <c r="F233" i="25"/>
  <c r="K232" i="25"/>
  <c r="J232" i="25"/>
  <c r="H232" i="25"/>
  <c r="F232" i="25"/>
  <c r="F237" i="25"/>
  <c r="K236" i="25"/>
  <c r="F230" i="25"/>
  <c r="J236" i="25"/>
  <c r="K231" i="25"/>
  <c r="J231" i="25"/>
  <c r="H231" i="25"/>
  <c r="F231" i="25"/>
  <c r="H236" i="25"/>
  <c r="F236" i="25"/>
  <c r="K235" i="25"/>
  <c r="J235" i="25"/>
  <c r="K230" i="25"/>
  <c r="J230" i="25"/>
  <c r="H230" i="25"/>
  <c r="F234" i="25"/>
  <c r="H235" i="25"/>
  <c r="K233" i="25"/>
  <c r="J233" i="25"/>
  <c r="C206" i="25"/>
  <c r="F176" i="20"/>
  <c r="C205" i="25"/>
  <c r="F175" i="20"/>
  <c r="C204" i="25"/>
  <c r="F173" i="20"/>
  <c r="C203" i="25"/>
  <c r="F172" i="20"/>
  <c r="C202" i="25"/>
  <c r="F171" i="20"/>
  <c r="C201" i="25"/>
  <c r="F165" i="20"/>
  <c r="C200" i="25"/>
  <c r="F164" i="20"/>
  <c r="C141" i="25"/>
  <c r="F31" i="20"/>
  <c r="C140" i="25"/>
  <c r="F30" i="20"/>
  <c r="C139" i="25"/>
  <c r="F29" i="20"/>
  <c r="C138" i="25"/>
  <c r="F28" i="20"/>
  <c r="C137" i="25"/>
  <c r="F27" i="20"/>
  <c r="C136" i="25"/>
  <c r="F25" i="20"/>
  <c r="N299" i="20"/>
  <c r="T299" i="20" s="1"/>
  <c r="V299" i="20" s="1"/>
  <c r="N162" i="20"/>
  <c r="T162" i="20" s="1"/>
  <c r="N247" i="20"/>
  <c r="T247" i="20" s="1"/>
  <c r="V247" i="20" s="1"/>
  <c r="N171" i="20"/>
  <c r="T171" i="20" s="1"/>
  <c r="V171" i="20" s="1"/>
  <c r="C237" i="25"/>
  <c r="F206" i="20"/>
  <c r="C236" i="25"/>
  <c r="F205" i="20"/>
  <c r="C235" i="25"/>
  <c r="F204" i="20"/>
  <c r="C234" i="25"/>
  <c r="F203" i="20"/>
  <c r="C233" i="25"/>
  <c r="F202" i="20"/>
  <c r="C232" i="25"/>
  <c r="F201" i="20"/>
  <c r="C231" i="25"/>
  <c r="F200" i="20"/>
  <c r="C134" i="25"/>
  <c r="F24" i="20"/>
  <c r="C133" i="25"/>
  <c r="F22" i="20"/>
  <c r="C132" i="25"/>
  <c r="F21" i="20"/>
  <c r="C131" i="25"/>
  <c r="F20" i="20"/>
  <c r="C129" i="25"/>
  <c r="F15" i="20"/>
  <c r="N298" i="20"/>
  <c r="T298" i="20" s="1"/>
  <c r="V298" i="20" s="1"/>
  <c r="N297" i="20"/>
  <c r="T297" i="20" s="1"/>
  <c r="N108" i="20"/>
  <c r="T108" i="20" s="1"/>
  <c r="V108" i="20" s="1"/>
  <c r="N248" i="20"/>
  <c r="T248" i="20" s="1"/>
  <c r="V248" i="20" s="1"/>
  <c r="N106" i="20"/>
  <c r="T106" i="20" s="1"/>
  <c r="V106" i="20" s="1"/>
  <c r="N31" i="20"/>
  <c r="T31" i="20" s="1"/>
  <c r="V31" i="20" s="1"/>
  <c r="N27" i="20"/>
  <c r="T27" i="20" s="1"/>
  <c r="V27" i="20" s="1"/>
  <c r="L84" i="20"/>
  <c r="L95" i="20"/>
  <c r="L86" i="20"/>
  <c r="N294" i="20"/>
  <c r="T294" i="20" s="1"/>
  <c r="V294" i="20" s="1"/>
  <c r="N293" i="20"/>
  <c r="T293" i="20" s="1"/>
  <c r="V293" i="20" s="1"/>
  <c r="N292" i="20"/>
  <c r="T292" i="20" s="1"/>
  <c r="V292" i="20" s="1"/>
  <c r="N291" i="20"/>
  <c r="T291" i="20" s="1"/>
  <c r="V291" i="20" s="1"/>
  <c r="N289" i="20"/>
  <c r="T289" i="20" s="1"/>
  <c r="V289" i="20" s="1"/>
  <c r="N288" i="20"/>
  <c r="T288" i="20" s="1"/>
  <c r="V288" i="20" s="1"/>
  <c r="C230" i="25"/>
  <c r="F199" i="20"/>
  <c r="L302" i="20"/>
  <c r="L301" i="20"/>
  <c r="L300" i="20"/>
  <c r="L299" i="20"/>
  <c r="L298" i="20"/>
  <c r="L297" i="20"/>
  <c r="L296" i="20"/>
  <c r="L295" i="20"/>
  <c r="L294" i="20"/>
  <c r="L293" i="20"/>
  <c r="L292" i="20"/>
  <c r="L291" i="20"/>
  <c r="L290" i="20"/>
  <c r="L289" i="20"/>
  <c r="L288" i="20"/>
  <c r="L287" i="20"/>
  <c r="L286" i="20"/>
  <c r="L285" i="20"/>
  <c r="L284" i="20"/>
  <c r="L283" i="20"/>
  <c r="L282" i="20"/>
  <c r="L281" i="20"/>
  <c r="L280" i="20"/>
  <c r="L279" i="20"/>
  <c r="L278" i="20"/>
  <c r="L277" i="20"/>
  <c r="L276" i="20"/>
  <c r="L275" i="20"/>
  <c r="L274" i="20"/>
  <c r="L273" i="20"/>
  <c r="L272" i="20"/>
  <c r="L271" i="20"/>
  <c r="L270" i="20"/>
  <c r="L269" i="20"/>
  <c r="L268" i="20"/>
  <c r="L267" i="20"/>
  <c r="L266" i="20"/>
  <c r="L265" i="20"/>
  <c r="L264" i="20"/>
  <c r="L263" i="20"/>
  <c r="L262" i="20"/>
  <c r="L261" i="20"/>
  <c r="L260" i="20"/>
  <c r="L259" i="20"/>
  <c r="L258" i="20"/>
  <c r="L257" i="20"/>
  <c r="L256" i="20"/>
  <c r="L255" i="20"/>
  <c r="L254" i="20"/>
  <c r="L253" i="20"/>
  <c r="L252" i="20"/>
  <c r="L251" i="20"/>
  <c r="L250" i="20"/>
  <c r="L249" i="20"/>
  <c r="L248" i="20"/>
  <c r="L247" i="20"/>
  <c r="L246" i="20"/>
  <c r="L245" i="20"/>
  <c r="L244" i="20"/>
  <c r="L243" i="20"/>
  <c r="L242" i="20"/>
  <c r="L241" i="20"/>
  <c r="L240" i="20"/>
  <c r="L239" i="20"/>
  <c r="L238" i="20"/>
  <c r="L174" i="20"/>
  <c r="O174" i="20"/>
  <c r="L170" i="20"/>
  <c r="O170" i="20"/>
  <c r="L169" i="20"/>
  <c r="O169" i="20"/>
  <c r="L168" i="20"/>
  <c r="O168" i="20"/>
  <c r="L167" i="20"/>
  <c r="O167" i="20"/>
  <c r="L166" i="20"/>
  <c r="O166" i="20"/>
  <c r="L163" i="20"/>
  <c r="O163" i="20"/>
  <c r="L162" i="20"/>
  <c r="O162" i="20"/>
  <c r="L111" i="20"/>
  <c r="O111" i="20"/>
  <c r="L110" i="20"/>
  <c r="O110" i="20"/>
  <c r="L109" i="20"/>
  <c r="O109" i="20"/>
  <c r="L108" i="20"/>
  <c r="O108" i="20"/>
  <c r="L107" i="20"/>
  <c r="O107" i="20"/>
  <c r="L106" i="20"/>
  <c r="O106" i="20"/>
  <c r="L105" i="20"/>
  <c r="L104" i="20"/>
  <c r="O104" i="20"/>
  <c r="L103" i="20"/>
  <c r="O103" i="20"/>
  <c r="L102" i="20"/>
  <c r="O102" i="20"/>
  <c r="L101" i="20"/>
  <c r="O101" i="20"/>
  <c r="L100" i="20"/>
  <c r="O100" i="20"/>
  <c r="L99" i="20"/>
  <c r="O99" i="20"/>
  <c r="L98" i="20"/>
  <c r="O98" i="20"/>
  <c r="L54" i="20"/>
  <c r="L26" i="20"/>
  <c r="O26" i="20"/>
  <c r="L24" i="20"/>
  <c r="O24" i="20"/>
  <c r="L23" i="20"/>
  <c r="O23" i="20"/>
  <c r="L22" i="20"/>
  <c r="O22" i="20"/>
  <c r="L21" i="20"/>
  <c r="O21" i="20"/>
  <c r="L20" i="20"/>
  <c r="O20" i="20"/>
  <c r="L19" i="20"/>
  <c r="O19" i="20"/>
  <c r="L18" i="20"/>
  <c r="O18" i="20"/>
  <c r="O80" i="20"/>
  <c r="O82" i="20"/>
  <c r="O83" i="20"/>
  <c r="O84" i="20"/>
  <c r="O85" i="20"/>
  <c r="O86" i="20"/>
  <c r="O87" i="20"/>
  <c r="P87" i="20" s="1"/>
  <c r="O88" i="20"/>
  <c r="O91" i="20"/>
  <c r="O92" i="20"/>
  <c r="O95" i="20"/>
  <c r="L17" i="20"/>
  <c r="O17" i="20"/>
  <c r="L16" i="20"/>
  <c r="O16" i="20"/>
  <c r="L13" i="20"/>
  <c r="L11" i="20"/>
  <c r="O11" i="20"/>
  <c r="L10" i="20"/>
  <c r="O10" i="20"/>
  <c r="L9" i="20"/>
  <c r="O9" i="20"/>
  <c r="L8" i="20"/>
  <c r="O8" i="20"/>
  <c r="L7" i="20"/>
  <c r="O7" i="20"/>
  <c r="L6" i="20"/>
  <c r="O6" i="20"/>
  <c r="L5" i="20"/>
  <c r="O5" i="20"/>
  <c r="L4" i="20"/>
  <c r="O4" i="20"/>
  <c r="P6" i="3"/>
  <c r="P9" i="3"/>
  <c r="P12" i="3"/>
  <c r="P15" i="3"/>
  <c r="P18" i="3"/>
  <c r="P21" i="3"/>
  <c r="P23" i="3"/>
  <c r="P26" i="3"/>
  <c r="P33" i="3"/>
  <c r="P37" i="3"/>
  <c r="P5" i="3"/>
  <c r="P7" i="3"/>
  <c r="P11" i="3"/>
  <c r="P13" i="3"/>
  <c r="P16" i="3"/>
  <c r="P19" i="3"/>
  <c r="P22" i="3"/>
  <c r="P25" i="3"/>
  <c r="P28" i="3"/>
  <c r="P29" i="3"/>
  <c r="P31" i="3"/>
  <c r="P35" i="3"/>
  <c r="P36" i="3"/>
  <c r="P4" i="3"/>
  <c r="P8" i="3"/>
  <c r="P10" i="3"/>
  <c r="P14" i="3"/>
  <c r="P17" i="3"/>
  <c r="P20" i="3"/>
  <c r="P24" i="3"/>
  <c r="P27" i="3"/>
  <c r="P30" i="3"/>
  <c r="P32" i="3"/>
  <c r="P34" i="3"/>
  <c r="P38" i="3"/>
  <c r="L3" i="20"/>
  <c r="O3" i="20"/>
  <c r="R3" i="20"/>
  <c r="R4" i="20" s="1"/>
  <c r="R5" i="20" s="1"/>
  <c r="R6" i="20" s="1"/>
  <c r="R7" i="20" s="1"/>
  <c r="R8" i="20" s="1"/>
  <c r="R9" i="20" s="1"/>
  <c r="R10" i="20" s="1"/>
  <c r="R11" i="20" s="1"/>
  <c r="R12" i="20" s="1"/>
  <c r="R13" i="20" s="1"/>
  <c r="R14" i="20" s="1"/>
  <c r="R15" i="20" s="1"/>
  <c r="R16" i="20" s="1"/>
  <c r="R17" i="20" s="1"/>
  <c r="R18" i="20" s="1"/>
  <c r="R19" i="20" s="1"/>
  <c r="R20" i="20" s="1"/>
  <c r="R21" i="20" s="1"/>
  <c r="R22" i="20" s="1"/>
  <c r="R23" i="20" s="1"/>
  <c r="R24" i="20" s="1"/>
  <c r="R25" i="20" s="1"/>
  <c r="R26" i="20" s="1"/>
  <c r="R27" i="20" s="1"/>
  <c r="R28" i="20" s="1"/>
  <c r="R29" i="20" s="1"/>
  <c r="R30" i="20" s="1"/>
  <c r="R31" i="20" s="1"/>
  <c r="S3" i="20"/>
  <c r="G241" i="25"/>
  <c r="G242" i="25"/>
  <c r="C246" i="25"/>
  <c r="C248" i="25"/>
  <c r="C249" i="25"/>
  <c r="F253" i="25"/>
  <c r="G254" i="25"/>
  <c r="C258" i="25"/>
  <c r="F39" i="9"/>
  <c r="F41" i="9"/>
  <c r="F47" i="9"/>
  <c r="F53" i="9"/>
  <c r="F56" i="9"/>
  <c r="F40" i="10"/>
  <c r="F55" i="10"/>
  <c r="F61" i="10"/>
  <c r="F73" i="10"/>
  <c r="F30" i="11"/>
  <c r="F34" i="11"/>
  <c r="F25" i="12"/>
  <c r="F28" i="12"/>
  <c r="F39" i="12"/>
  <c r="F53" i="12"/>
  <c r="F55" i="12"/>
  <c r="F57" i="12"/>
  <c r="F59" i="12"/>
  <c r="F70" i="12"/>
  <c r="F25" i="13"/>
  <c r="F26" i="13"/>
  <c r="F30" i="13"/>
  <c r="F43" i="13"/>
  <c r="F44" i="13"/>
  <c r="F46" i="13"/>
  <c r="F55" i="13"/>
  <c r="H143" i="25"/>
  <c r="C144" i="25"/>
  <c r="C151" i="25"/>
  <c r="F151" i="25"/>
  <c r="G151" i="25"/>
  <c r="H151" i="25"/>
  <c r="I151" i="25"/>
  <c r="J151" i="25"/>
  <c r="K151" i="25"/>
  <c r="C152" i="25"/>
  <c r="F152" i="25"/>
  <c r="G152" i="25"/>
  <c r="H152" i="25"/>
  <c r="I152" i="25"/>
  <c r="J152" i="25"/>
  <c r="K152" i="25"/>
  <c r="C153" i="25"/>
  <c r="F153" i="25"/>
  <c r="G153" i="25"/>
  <c r="H153" i="25"/>
  <c r="I153" i="25"/>
  <c r="J153" i="25"/>
  <c r="K153" i="25"/>
  <c r="C154" i="25"/>
  <c r="F154" i="25"/>
  <c r="G154" i="25"/>
  <c r="H154" i="25"/>
  <c r="I154" i="25"/>
  <c r="J154" i="25"/>
  <c r="K154" i="25"/>
  <c r="C155" i="25"/>
  <c r="F155" i="25"/>
  <c r="G155" i="25"/>
  <c r="H155" i="25"/>
  <c r="I155" i="25"/>
  <c r="J155" i="25"/>
  <c r="K155" i="25"/>
  <c r="C156" i="25"/>
  <c r="F156" i="25"/>
  <c r="G156" i="25"/>
  <c r="H156" i="25"/>
  <c r="I156" i="25"/>
  <c r="J156" i="25"/>
  <c r="K156" i="25"/>
  <c r="C157" i="25"/>
  <c r="F157" i="25"/>
  <c r="G157" i="25"/>
  <c r="H157" i="25"/>
  <c r="I157" i="25"/>
  <c r="J157" i="25"/>
  <c r="K157" i="25"/>
  <c r="C158" i="25"/>
  <c r="F158" i="25"/>
  <c r="G158" i="25"/>
  <c r="H158" i="25"/>
  <c r="I158" i="25"/>
  <c r="J158" i="25"/>
  <c r="K158" i="25"/>
  <c r="C159" i="25"/>
  <c r="F159" i="25"/>
  <c r="G159" i="25"/>
  <c r="H159" i="25"/>
  <c r="I159" i="25"/>
  <c r="J159" i="25"/>
  <c r="K159" i="25"/>
  <c r="C161" i="25"/>
  <c r="F161" i="25"/>
  <c r="G161" i="25"/>
  <c r="H161" i="25"/>
  <c r="I161" i="25"/>
  <c r="J161" i="25"/>
  <c r="K161" i="25"/>
  <c r="C162" i="25"/>
  <c r="F162" i="25"/>
  <c r="G162" i="25"/>
  <c r="H162" i="25"/>
  <c r="I162" i="25"/>
  <c r="J162" i="25"/>
  <c r="K162" i="25"/>
  <c r="C163" i="25"/>
  <c r="F163" i="25"/>
  <c r="G163" i="25"/>
  <c r="H163" i="25"/>
  <c r="I163" i="25"/>
  <c r="J163" i="25"/>
  <c r="K163" i="25"/>
  <c r="C174" i="25"/>
  <c r="F174" i="25"/>
  <c r="G174" i="25"/>
  <c r="H174" i="25"/>
  <c r="I174" i="25"/>
  <c r="J174" i="25"/>
  <c r="K174" i="25"/>
  <c r="C175" i="25"/>
  <c r="F175" i="25"/>
  <c r="G175" i="25"/>
  <c r="H175" i="25"/>
  <c r="I175" i="25"/>
  <c r="J175" i="25"/>
  <c r="K175" i="25"/>
  <c r="C176" i="25"/>
  <c r="F176" i="25"/>
  <c r="G176" i="25"/>
  <c r="H176" i="25"/>
  <c r="I176" i="25"/>
  <c r="J176" i="25"/>
  <c r="K176" i="25"/>
  <c r="C177" i="25"/>
  <c r="F177" i="25"/>
  <c r="G177" i="25"/>
  <c r="H177" i="25"/>
  <c r="I177" i="25"/>
  <c r="J177" i="25"/>
  <c r="K177" i="25"/>
  <c r="C178" i="25"/>
  <c r="F178" i="25"/>
  <c r="G178" i="25"/>
  <c r="H178" i="25"/>
  <c r="I178" i="25"/>
  <c r="J178" i="25"/>
  <c r="K178" i="25"/>
  <c r="C179" i="25"/>
  <c r="F179" i="25"/>
  <c r="G179" i="25"/>
  <c r="H179" i="25"/>
  <c r="I179" i="25"/>
  <c r="J179" i="25"/>
  <c r="K179" i="25"/>
  <c r="C180" i="25"/>
  <c r="F180" i="25"/>
  <c r="G180" i="25"/>
  <c r="H180" i="25"/>
  <c r="I180" i="25"/>
  <c r="J180" i="25"/>
  <c r="K180" i="25"/>
  <c r="C181" i="25"/>
  <c r="F181" i="25"/>
  <c r="G181" i="25"/>
  <c r="H181" i="25"/>
  <c r="I181" i="25"/>
  <c r="J181" i="25"/>
  <c r="K181" i="25"/>
  <c r="C182" i="25"/>
  <c r="F182" i="25"/>
  <c r="G182" i="25"/>
  <c r="H182" i="25"/>
  <c r="I182" i="25"/>
  <c r="J182" i="25"/>
  <c r="K182" i="25"/>
  <c r="C183" i="25"/>
  <c r="F183" i="25"/>
  <c r="G183" i="25"/>
  <c r="H183" i="25"/>
  <c r="I183" i="25"/>
  <c r="J183" i="25"/>
  <c r="K183" i="25"/>
  <c r="C184" i="25"/>
  <c r="F184" i="25"/>
  <c r="G184" i="25"/>
  <c r="H184" i="25"/>
  <c r="I184" i="25"/>
  <c r="J184" i="25"/>
  <c r="K184" i="25"/>
  <c r="C185" i="25"/>
  <c r="F185" i="25"/>
  <c r="G185" i="25"/>
  <c r="H185" i="25"/>
  <c r="I185" i="25"/>
  <c r="J185" i="25"/>
  <c r="K185" i="25"/>
  <c r="C186" i="25"/>
  <c r="F186" i="25"/>
  <c r="G186" i="25"/>
  <c r="H186" i="25"/>
  <c r="I186" i="25"/>
  <c r="J186" i="25"/>
  <c r="K186" i="25"/>
  <c r="C187" i="25"/>
  <c r="F187" i="25"/>
  <c r="G187" i="25"/>
  <c r="H187" i="25"/>
  <c r="I187" i="25"/>
  <c r="J187" i="25"/>
  <c r="K187" i="25"/>
  <c r="C188" i="25"/>
  <c r="F188" i="25"/>
  <c r="G188" i="25"/>
  <c r="H188" i="25"/>
  <c r="I188" i="25"/>
  <c r="J188" i="25"/>
  <c r="K188" i="25"/>
  <c r="C190" i="25"/>
  <c r="D190" i="25"/>
  <c r="E190" i="25"/>
  <c r="F190" i="25"/>
  <c r="G190" i="25"/>
  <c r="H190" i="25"/>
  <c r="I190" i="25"/>
  <c r="J190" i="25"/>
  <c r="K190" i="25"/>
  <c r="C191" i="25"/>
  <c r="D191" i="25"/>
  <c r="E191" i="25"/>
  <c r="F191" i="25"/>
  <c r="G191" i="25"/>
  <c r="H191" i="25"/>
  <c r="I191" i="25"/>
  <c r="J191" i="25"/>
  <c r="K191" i="25"/>
  <c r="C193" i="25"/>
  <c r="F193" i="25"/>
  <c r="G193" i="25"/>
  <c r="H193" i="25"/>
  <c r="I193" i="25"/>
  <c r="J193" i="25"/>
  <c r="K193" i="25"/>
  <c r="C194" i="25"/>
  <c r="F194" i="25"/>
  <c r="G194" i="25"/>
  <c r="H194" i="25"/>
  <c r="I194" i="25"/>
  <c r="J194" i="25"/>
  <c r="K194" i="25"/>
  <c r="C195" i="25"/>
  <c r="F195" i="25"/>
  <c r="G195" i="25"/>
  <c r="H195" i="25"/>
  <c r="I195" i="25"/>
  <c r="J195" i="25"/>
  <c r="K195" i="25"/>
  <c r="C196" i="25"/>
  <c r="F196" i="25"/>
  <c r="G196" i="25"/>
  <c r="H196" i="25"/>
  <c r="I196" i="25"/>
  <c r="J196" i="25"/>
  <c r="K196" i="25"/>
  <c r="C197" i="25"/>
  <c r="F197" i="25"/>
  <c r="G197" i="25"/>
  <c r="H197" i="25"/>
  <c r="I197" i="25"/>
  <c r="J197" i="25"/>
  <c r="K197" i="25"/>
  <c r="C198" i="25"/>
  <c r="F198" i="25"/>
  <c r="G198" i="25"/>
  <c r="H198" i="25"/>
  <c r="I198" i="25"/>
  <c r="J198" i="25"/>
  <c r="K198" i="25"/>
  <c r="C208" i="25"/>
  <c r="F208" i="25"/>
  <c r="G208" i="25"/>
  <c r="H208" i="25"/>
  <c r="I208" i="25"/>
  <c r="J208" i="25"/>
  <c r="K208" i="25"/>
  <c r="C209" i="25"/>
  <c r="F209" i="25"/>
  <c r="G209" i="25"/>
  <c r="H209" i="25"/>
  <c r="I209" i="25"/>
  <c r="J209" i="25"/>
  <c r="K209" i="25"/>
  <c r="C210" i="25"/>
  <c r="F210" i="25"/>
  <c r="G210" i="25"/>
  <c r="H210" i="25"/>
  <c r="I210" i="25"/>
  <c r="J210" i="25"/>
  <c r="K210" i="25"/>
  <c r="C211" i="25"/>
  <c r="F211" i="25"/>
  <c r="G211" i="25"/>
  <c r="H211" i="25"/>
  <c r="I211" i="25"/>
  <c r="J211" i="25"/>
  <c r="K211" i="25"/>
  <c r="C213" i="25"/>
  <c r="F213" i="25"/>
  <c r="G213" i="25"/>
  <c r="H213" i="25"/>
  <c r="I213" i="25"/>
  <c r="J213" i="25"/>
  <c r="K213" i="25"/>
  <c r="C214" i="25"/>
  <c r="F214" i="25"/>
  <c r="G214" i="25"/>
  <c r="H214" i="25"/>
  <c r="I214" i="25"/>
  <c r="J214" i="25"/>
  <c r="K214" i="25"/>
  <c r="C215" i="25"/>
  <c r="F215" i="25"/>
  <c r="G215" i="25"/>
  <c r="H215" i="25"/>
  <c r="I215" i="25"/>
  <c r="J215" i="25"/>
  <c r="K215" i="25"/>
  <c r="C216" i="25"/>
  <c r="F216" i="25"/>
  <c r="C239" i="25"/>
  <c r="F243" i="25"/>
  <c r="G244" i="25"/>
  <c r="H245" i="25"/>
  <c r="I246" i="25"/>
  <c r="H248" i="25"/>
  <c r="I249" i="25"/>
  <c r="J250" i="25"/>
  <c r="I251" i="25"/>
  <c r="I252" i="25"/>
  <c r="J253" i="25"/>
  <c r="F259" i="25"/>
  <c r="I144" i="25"/>
  <c r="F239" i="25"/>
  <c r="G240" i="25"/>
  <c r="I241" i="25"/>
  <c r="F246" i="25"/>
  <c r="F248" i="25"/>
  <c r="F249" i="25"/>
  <c r="H251" i="25"/>
  <c r="H252" i="25"/>
  <c r="I253" i="25"/>
  <c r="J254" i="25"/>
  <c r="J255" i="25"/>
  <c r="J256" i="25"/>
  <c r="J257" i="25"/>
  <c r="C259" i="25"/>
  <c r="H237" i="25"/>
  <c r="I238" i="25"/>
  <c r="J239" i="25"/>
  <c r="K240" i="25"/>
  <c r="K241" i="25"/>
  <c r="K242" i="25"/>
  <c r="K243" i="25"/>
  <c r="C245" i="25"/>
  <c r="G250" i="25"/>
  <c r="K253" i="25"/>
  <c r="K254" i="25"/>
  <c r="K255" i="25"/>
  <c r="C257" i="25"/>
  <c r="F144" i="25"/>
  <c r="H238" i="25"/>
  <c r="H239" i="25"/>
  <c r="J240" i="25"/>
  <c r="C244" i="25"/>
  <c r="G246" i="25"/>
  <c r="G248" i="25"/>
  <c r="G249" i="25"/>
  <c r="F250" i="25"/>
  <c r="G251" i="25"/>
  <c r="J252" i="25"/>
  <c r="C256" i="25"/>
  <c r="F258" i="25"/>
  <c r="J259" i="25"/>
  <c r="I143" i="25"/>
  <c r="H144" i="25"/>
  <c r="K237" i="25"/>
  <c r="I239" i="25"/>
  <c r="C240" i="25"/>
  <c r="I240" i="25"/>
  <c r="J241" i="25"/>
  <c r="J242" i="25"/>
  <c r="I243" i="25"/>
  <c r="I244" i="25"/>
  <c r="F245" i="25"/>
  <c r="J245" i="25"/>
  <c r="K246" i="25"/>
  <c r="K248" i="25"/>
  <c r="H250" i="25"/>
  <c r="C251" i="25"/>
  <c r="F251" i="25"/>
  <c r="C252" i="25"/>
  <c r="G252" i="25"/>
  <c r="G253" i="25"/>
  <c r="H254" i="25"/>
  <c r="H255" i="25"/>
  <c r="H256" i="25"/>
  <c r="I258" i="25"/>
  <c r="J258" i="25"/>
  <c r="H259" i="25"/>
  <c r="F143" i="25"/>
  <c r="J143" i="25"/>
  <c r="K144" i="25"/>
  <c r="I237" i="25"/>
  <c r="F238" i="25"/>
  <c r="J238" i="25"/>
  <c r="G239" i="25"/>
  <c r="K239" i="25"/>
  <c r="H242" i="25"/>
  <c r="C243" i="25"/>
  <c r="H243" i="25"/>
  <c r="J244" i="25"/>
  <c r="G245" i="25"/>
  <c r="K245" i="25"/>
  <c r="H246" i="25"/>
  <c r="H249" i="25"/>
  <c r="C250" i="25"/>
  <c r="I250" i="25"/>
  <c r="J251" i="25"/>
  <c r="K252" i="25"/>
  <c r="F254" i="25"/>
  <c r="C255" i="25"/>
  <c r="G255" i="25"/>
  <c r="G256" i="25"/>
  <c r="K256" i="25"/>
  <c r="H257" i="25"/>
  <c r="K257" i="25"/>
  <c r="I259" i="25"/>
  <c r="F43" i="9"/>
  <c r="F46" i="9"/>
  <c r="F49" i="9"/>
  <c r="F52" i="9"/>
  <c r="F55" i="9"/>
  <c r="F58" i="9"/>
  <c r="F59" i="9"/>
  <c r="F61" i="9"/>
  <c r="F20" i="10"/>
  <c r="F23" i="10"/>
  <c r="F26" i="10"/>
  <c r="F29" i="10"/>
  <c r="F32" i="10"/>
  <c r="F33" i="10"/>
  <c r="F36" i="10"/>
  <c r="F38" i="10"/>
  <c r="F39" i="10"/>
  <c r="F41" i="10"/>
  <c r="F42" i="10"/>
  <c r="F47" i="10"/>
  <c r="F48" i="10"/>
  <c r="F49" i="10"/>
  <c r="F50" i="10"/>
  <c r="F56" i="10"/>
  <c r="F57" i="10"/>
  <c r="F62" i="10"/>
  <c r="F70" i="10"/>
  <c r="F71" i="10"/>
  <c r="F21" i="11"/>
  <c r="F24" i="11"/>
  <c r="F26" i="11"/>
  <c r="F29" i="11"/>
  <c r="F32" i="11"/>
  <c r="F35" i="11"/>
  <c r="F37" i="11"/>
  <c r="F24" i="12"/>
  <c r="F26" i="12"/>
  <c r="F31" i="12"/>
  <c r="F33" i="12"/>
  <c r="F34" i="12"/>
  <c r="F38" i="12"/>
  <c r="F40" i="12"/>
  <c r="F42" i="12"/>
  <c r="F44" i="12"/>
  <c r="F46" i="12"/>
  <c r="F48" i="12"/>
  <c r="F50" i="12"/>
  <c r="F52" i="12"/>
  <c r="F54" i="12"/>
  <c r="F56" i="12"/>
  <c r="F60" i="12"/>
  <c r="F61" i="12"/>
  <c r="F63" i="12"/>
  <c r="F64" i="12"/>
  <c r="F69" i="12"/>
  <c r="F72" i="12"/>
  <c r="F76" i="12"/>
  <c r="F79" i="12"/>
  <c r="F80" i="12"/>
  <c r="F24" i="13"/>
  <c r="F27" i="13"/>
  <c r="F29" i="13"/>
  <c r="F31" i="13"/>
  <c r="F32" i="13"/>
  <c r="F33" i="13"/>
  <c r="F52" i="13"/>
  <c r="F53" i="13"/>
  <c r="G143" i="25"/>
  <c r="K143" i="25"/>
  <c r="J144" i="25"/>
  <c r="J237" i="25"/>
  <c r="G238" i="25"/>
  <c r="K238" i="25"/>
  <c r="H240" i="25"/>
  <c r="C241" i="25"/>
  <c r="H241" i="25"/>
  <c r="C242" i="25"/>
  <c r="I242" i="25"/>
  <c r="J243" i="25"/>
  <c r="F244" i="25"/>
  <c r="K244" i="25"/>
  <c r="J248" i="25"/>
  <c r="K249" i="25"/>
  <c r="F252" i="25"/>
  <c r="H253" i="25"/>
  <c r="I254" i="25"/>
  <c r="F255" i="25"/>
  <c r="I255" i="25"/>
  <c r="F256" i="25"/>
  <c r="I256" i="25"/>
  <c r="G257" i="25"/>
  <c r="I257" i="25"/>
  <c r="H258" i="25"/>
  <c r="K258" i="25"/>
  <c r="G259" i="25"/>
  <c r="F40" i="9"/>
  <c r="F45" i="9"/>
  <c r="F48" i="9"/>
  <c r="F50" i="9"/>
  <c r="F57" i="9"/>
  <c r="F21" i="10"/>
  <c r="F24" i="10"/>
  <c r="F27" i="10"/>
  <c r="F30" i="10"/>
  <c r="F37" i="10"/>
  <c r="F43" i="10"/>
  <c r="F44" i="10"/>
  <c r="F45" i="10"/>
  <c r="F53" i="10"/>
  <c r="F54" i="10"/>
  <c r="F58" i="10"/>
  <c r="F60" i="10"/>
  <c r="F64" i="10"/>
  <c r="F65" i="10"/>
  <c r="F67" i="10"/>
  <c r="F72" i="10"/>
  <c r="F74" i="10"/>
  <c r="F20" i="11"/>
  <c r="F23" i="11"/>
  <c r="F25" i="11"/>
  <c r="F28" i="11"/>
  <c r="F31" i="11"/>
  <c r="F33" i="11"/>
  <c r="F23" i="12"/>
  <c r="F27" i="12"/>
  <c r="F29" i="12"/>
  <c r="F30" i="12"/>
  <c r="F36" i="12"/>
  <c r="F37" i="12"/>
  <c r="F65" i="12"/>
  <c r="F66" i="12"/>
  <c r="F67" i="12"/>
  <c r="F68" i="12"/>
  <c r="F71" i="12"/>
  <c r="F74" i="12"/>
  <c r="F77" i="12"/>
  <c r="F78" i="12"/>
  <c r="F83" i="12"/>
  <c r="F85" i="12"/>
  <c r="F21" i="13"/>
  <c r="F36" i="13"/>
  <c r="F38" i="13"/>
  <c r="F39" i="13"/>
  <c r="F41" i="13"/>
  <c r="F42" i="13"/>
  <c r="F47" i="13"/>
  <c r="F48" i="13"/>
  <c r="F50" i="13"/>
  <c r="C143" i="25"/>
  <c r="G144" i="25"/>
  <c r="C238" i="25"/>
  <c r="F240" i="25"/>
  <c r="F241" i="25"/>
  <c r="F242" i="25"/>
  <c r="G243" i="25"/>
  <c r="H244" i="25"/>
  <c r="I245" i="25"/>
  <c r="J246" i="25"/>
  <c r="I248" i="25"/>
  <c r="J249" i="25"/>
  <c r="K250" i="25"/>
  <c r="K251" i="25"/>
  <c r="C253" i="25"/>
  <c r="C254" i="25"/>
  <c r="F257" i="25"/>
  <c r="G258" i="25"/>
  <c r="K259" i="25"/>
  <c r="F42" i="9"/>
  <c r="F44" i="9"/>
  <c r="F51" i="9"/>
  <c r="F54" i="9"/>
  <c r="F60" i="9"/>
  <c r="F22" i="10"/>
  <c r="F25" i="10"/>
  <c r="F28" i="10"/>
  <c r="F31" i="10"/>
  <c r="F35" i="10"/>
  <c r="F46" i="10"/>
  <c r="F52" i="10"/>
  <c r="F59" i="10"/>
  <c r="F66" i="10"/>
  <c r="F69" i="10"/>
  <c r="F22" i="11"/>
  <c r="F27" i="11"/>
  <c r="F36" i="11"/>
  <c r="F35" i="12"/>
  <c r="F41" i="12"/>
  <c r="F43" i="12"/>
  <c r="F45" i="12"/>
  <c r="F47" i="12"/>
  <c r="F49" i="12"/>
  <c r="F51" i="12"/>
  <c r="F58" i="12"/>
  <c r="F73" i="12"/>
  <c r="F81" i="12"/>
  <c r="F82" i="12"/>
  <c r="F84" i="12"/>
  <c r="F20" i="13"/>
  <c r="F23" i="13"/>
  <c r="F35" i="13"/>
  <c r="F37" i="13"/>
  <c r="F45" i="13"/>
  <c r="F51" i="13"/>
  <c r="F54" i="13"/>
  <c r="E20" i="12"/>
  <c r="E63" i="12"/>
  <c r="E67" i="12"/>
  <c r="E72" i="12"/>
  <c r="E64" i="12"/>
  <c r="E69" i="12"/>
  <c r="E66" i="12"/>
  <c r="E68" i="12"/>
  <c r="E71" i="12"/>
  <c r="E74" i="12"/>
  <c r="E65" i="12"/>
  <c r="E70" i="12"/>
  <c r="E73" i="12"/>
  <c r="E19" i="14"/>
  <c r="E90" i="14"/>
  <c r="E91" i="14"/>
  <c r="E92" i="14"/>
  <c r="E93" i="14"/>
  <c r="E94" i="14"/>
  <c r="E95" i="14"/>
  <c r="E96" i="14"/>
  <c r="E97" i="14"/>
  <c r="E21" i="12"/>
  <c r="E77" i="12"/>
  <c r="E81" i="12"/>
  <c r="E83" i="12"/>
  <c r="E79" i="12"/>
  <c r="E76" i="12"/>
  <c r="E80" i="12"/>
  <c r="E78" i="12"/>
  <c r="E82" i="12"/>
  <c r="E84" i="12"/>
  <c r="E85" i="12"/>
  <c r="E29" i="13"/>
  <c r="E36" i="13"/>
  <c r="E41" i="13"/>
  <c r="E18" i="13"/>
  <c r="E20" i="13"/>
  <c r="E23" i="13"/>
  <c r="E24" i="13"/>
  <c r="E26" i="13"/>
  <c r="E31" i="13"/>
  <c r="E37" i="13"/>
  <c r="E39" i="13"/>
  <c r="E42" i="13"/>
  <c r="E44" i="13"/>
  <c r="E46" i="13"/>
  <c r="E48" i="13"/>
  <c r="E51" i="13"/>
  <c r="E25" i="13"/>
  <c r="E27" i="13"/>
  <c r="E30" i="13"/>
  <c r="E32" i="13"/>
  <c r="E35" i="13"/>
  <c r="E38" i="13"/>
  <c r="E45" i="13"/>
  <c r="E47" i="13"/>
  <c r="E53" i="13"/>
  <c r="E54" i="13"/>
  <c r="E55" i="13"/>
  <c r="E21" i="13"/>
  <c r="E33" i="13"/>
  <c r="E43" i="13"/>
  <c r="E50" i="13"/>
  <c r="E52" i="13"/>
  <c r="E19" i="12"/>
  <c r="E37" i="12"/>
  <c r="E40" i="12"/>
  <c r="E52" i="12"/>
  <c r="E36" i="12"/>
  <c r="E38" i="12"/>
  <c r="E42" i="12"/>
  <c r="E43" i="12"/>
  <c r="E46" i="12"/>
  <c r="E50" i="12"/>
  <c r="E54" i="12"/>
  <c r="E55" i="12"/>
  <c r="E58" i="12"/>
  <c r="E60" i="12"/>
  <c r="E34" i="12"/>
  <c r="E35" i="12"/>
  <c r="E39" i="12"/>
  <c r="E41" i="12"/>
  <c r="E45" i="12"/>
  <c r="E47" i="12"/>
  <c r="E49" i="12"/>
  <c r="E51" i="12"/>
  <c r="E53" i="12"/>
  <c r="E57" i="12"/>
  <c r="E59" i="12"/>
  <c r="E61" i="12"/>
  <c r="E33" i="12"/>
  <c r="E44" i="12"/>
  <c r="E48" i="12"/>
  <c r="E56" i="12"/>
  <c r="E21" i="10"/>
  <c r="E24" i="10"/>
  <c r="E27" i="10"/>
  <c r="E30" i="10"/>
  <c r="E53" i="10"/>
  <c r="E66" i="10"/>
  <c r="E71" i="10"/>
  <c r="E22" i="10"/>
  <c r="E25" i="10"/>
  <c r="E28" i="10"/>
  <c r="E31" i="10"/>
  <c r="E54" i="10"/>
  <c r="E55" i="10"/>
  <c r="E61" i="10"/>
  <c r="E65" i="10"/>
  <c r="E67" i="10"/>
  <c r="E69" i="10"/>
  <c r="E73" i="10"/>
  <c r="E74" i="10"/>
  <c r="E18" i="10"/>
  <c r="E20" i="10"/>
  <c r="E23" i="10"/>
  <c r="E26" i="10"/>
  <c r="E29" i="10"/>
  <c r="E32" i="10"/>
  <c r="E33" i="10"/>
  <c r="E52" i="10"/>
  <c r="E56" i="10"/>
  <c r="E58" i="10"/>
  <c r="E59" i="10"/>
  <c r="E62" i="10"/>
  <c r="E70" i="10"/>
  <c r="E72" i="10"/>
  <c r="E57" i="10"/>
  <c r="E60" i="10"/>
  <c r="E64" i="10"/>
  <c r="E22" i="9"/>
  <c r="E25" i="9"/>
  <c r="E54" i="9"/>
  <c r="E18" i="9"/>
  <c r="E20" i="9"/>
  <c r="E23" i="9"/>
  <c r="E26" i="9"/>
  <c r="E28" i="9"/>
  <c r="E29" i="9"/>
  <c r="E31" i="9"/>
  <c r="E32" i="9"/>
  <c r="E34" i="9"/>
  <c r="E35" i="9"/>
  <c r="E37" i="9"/>
  <c r="E39" i="9"/>
  <c r="E41" i="9"/>
  <c r="E45" i="9"/>
  <c r="E46" i="9"/>
  <c r="E48" i="9"/>
  <c r="E51" i="9"/>
  <c r="E57" i="9"/>
  <c r="E24" i="9"/>
  <c r="E30" i="9"/>
  <c r="E33" i="9"/>
  <c r="E36" i="9"/>
  <c r="E42" i="9"/>
  <c r="E44" i="9"/>
  <c r="E47" i="9"/>
  <c r="E50" i="9"/>
  <c r="E53" i="9"/>
  <c r="E56" i="9"/>
  <c r="E59" i="9"/>
  <c r="E60" i="9"/>
  <c r="E61" i="9"/>
  <c r="E21" i="9"/>
  <c r="E27" i="9"/>
  <c r="E40" i="9"/>
  <c r="E43" i="9"/>
  <c r="E49" i="9"/>
  <c r="E52" i="9"/>
  <c r="E55" i="9"/>
  <c r="E58" i="9"/>
  <c r="E18" i="12"/>
  <c r="E24" i="12"/>
  <c r="E27" i="12"/>
  <c r="E31" i="12"/>
  <c r="E23" i="12"/>
  <c r="E25" i="12"/>
  <c r="E29" i="12"/>
  <c r="E30" i="12"/>
  <c r="E26" i="12"/>
  <c r="E28" i="12"/>
  <c r="E18" i="11"/>
  <c r="E24" i="11"/>
  <c r="E30" i="11"/>
  <c r="E33" i="11"/>
  <c r="E21" i="11"/>
  <c r="E25" i="11"/>
  <c r="E27" i="11"/>
  <c r="E20" i="11"/>
  <c r="E23" i="11"/>
  <c r="E28" i="11"/>
  <c r="E31" i="11"/>
  <c r="E22" i="11"/>
  <c r="E26" i="11"/>
  <c r="E29" i="11"/>
  <c r="E32" i="11"/>
  <c r="E34" i="11"/>
  <c r="E35" i="11"/>
  <c r="E36" i="11"/>
  <c r="E37" i="11"/>
  <c r="N290" i="20"/>
  <c r="T290" i="20" s="1"/>
  <c r="V290" i="20" s="1"/>
  <c r="N287" i="20"/>
  <c r="T287" i="20" s="1"/>
  <c r="V287" i="20" s="1"/>
  <c r="N286" i="20"/>
  <c r="T286" i="20" s="1"/>
  <c r="V286" i="20" s="1"/>
  <c r="N285" i="20"/>
  <c r="T285" i="20" s="1"/>
  <c r="V285" i="20" s="1"/>
  <c r="N284" i="20"/>
  <c r="T284" i="20" s="1"/>
  <c r="V284" i="20" s="1"/>
  <c r="N283" i="20"/>
  <c r="T283" i="20" s="1"/>
  <c r="V283" i="20" s="1"/>
  <c r="N282" i="20"/>
  <c r="T282" i="20" s="1"/>
  <c r="V282" i="20" s="1"/>
  <c r="N281" i="20"/>
  <c r="T281" i="20" s="1"/>
  <c r="V281" i="20" s="1"/>
  <c r="N280" i="20"/>
  <c r="T280" i="20" s="1"/>
  <c r="V280" i="20" s="1"/>
  <c r="N279" i="20"/>
  <c r="T279" i="20" s="1"/>
  <c r="V279" i="20" s="1"/>
  <c r="N278" i="20"/>
  <c r="T278" i="20" s="1"/>
  <c r="V278" i="20" s="1"/>
  <c r="N277" i="20"/>
  <c r="T277" i="20" s="1"/>
  <c r="V277" i="20" s="1"/>
  <c r="N276" i="20"/>
  <c r="T276" i="20" s="1"/>
  <c r="V276" i="20" s="1"/>
  <c r="N275" i="20"/>
  <c r="T275" i="20" s="1"/>
  <c r="V275" i="20" s="1"/>
  <c r="N274" i="20"/>
  <c r="T274" i="20" s="1"/>
  <c r="V274" i="20" s="1"/>
  <c r="N273" i="20"/>
  <c r="T273" i="20" s="1"/>
  <c r="N272" i="20"/>
  <c r="T272" i="20" s="1"/>
  <c r="V272" i="20" s="1"/>
  <c r="N271" i="20"/>
  <c r="T271" i="20" s="1"/>
  <c r="V271" i="20" s="1"/>
  <c r="N270" i="20"/>
  <c r="T270" i="20" s="1"/>
  <c r="V270" i="20" s="1"/>
  <c r="N268" i="20"/>
  <c r="T268" i="20" s="1"/>
  <c r="V268" i="20" s="1"/>
  <c r="N267" i="20"/>
  <c r="T267" i="20" s="1"/>
  <c r="N266" i="20"/>
  <c r="T266" i="20" s="1"/>
  <c r="V266" i="20" s="1"/>
  <c r="N265" i="20"/>
  <c r="T265" i="20" s="1"/>
  <c r="V265" i="20" s="1"/>
  <c r="N264" i="20"/>
  <c r="T264" i="20" s="1"/>
  <c r="V264" i="20" s="1"/>
  <c r="N263" i="20"/>
  <c r="T263" i="20" s="1"/>
  <c r="V263" i="20" s="1"/>
  <c r="N262" i="20"/>
  <c r="T262" i="20" s="1"/>
  <c r="V262" i="20" s="1"/>
  <c r="N261" i="20"/>
  <c r="T261" i="20" s="1"/>
  <c r="V261" i="20" s="1"/>
  <c r="N260" i="20"/>
  <c r="T260" i="20" s="1"/>
  <c r="V260" i="20" s="1"/>
  <c r="N259" i="20"/>
  <c r="T259" i="20" s="1"/>
  <c r="V259" i="20" s="1"/>
  <c r="N258" i="20"/>
  <c r="T258" i="20" s="1"/>
  <c r="V258" i="20" s="1"/>
  <c r="N257" i="20"/>
  <c r="T257" i="20" s="1"/>
  <c r="V257" i="20" s="1"/>
  <c r="N256" i="20"/>
  <c r="T256" i="20" s="1"/>
  <c r="N255" i="20"/>
  <c r="T255" i="20" s="1"/>
  <c r="N246" i="20"/>
  <c r="T246" i="20" s="1"/>
  <c r="V246" i="20" s="1"/>
  <c r="N240" i="20"/>
  <c r="T240" i="20" s="1"/>
  <c r="V240" i="20" s="1"/>
  <c r="N174" i="20"/>
  <c r="T174" i="20" s="1"/>
  <c r="V174" i="20" s="1"/>
  <c r="N172" i="20"/>
  <c r="T172" i="20" s="1"/>
  <c r="V172" i="20" s="1"/>
  <c r="N170" i="20"/>
  <c r="T170" i="20" s="1"/>
  <c r="V170" i="20" s="1"/>
  <c r="N169" i="20"/>
  <c r="T169" i="20" s="1"/>
  <c r="V169" i="20" s="1"/>
  <c r="N168" i="20"/>
  <c r="T168" i="20" s="1"/>
  <c r="V168" i="20" s="1"/>
  <c r="N167" i="20"/>
  <c r="T167" i="20" s="1"/>
  <c r="V167" i="20" s="1"/>
  <c r="N166" i="20"/>
  <c r="T166" i="20" s="1"/>
  <c r="V166" i="20" s="1"/>
  <c r="N165" i="20"/>
  <c r="T165" i="20" s="1"/>
  <c r="V165" i="20" s="1"/>
  <c r="N164" i="20"/>
  <c r="T164" i="20" s="1"/>
  <c r="N163" i="20"/>
  <c r="T163" i="20" s="1"/>
  <c r="N104" i="20"/>
  <c r="T104" i="20" s="1"/>
  <c r="V104" i="20" s="1"/>
  <c r="N103" i="20"/>
  <c r="T103" i="20" s="1"/>
  <c r="V103" i="20" s="1"/>
  <c r="N102" i="20"/>
  <c r="T102" i="20" s="1"/>
  <c r="V102" i="20" s="1"/>
  <c r="N101" i="20"/>
  <c r="T101" i="20" s="1"/>
  <c r="V101" i="20" s="1"/>
  <c r="N100" i="20"/>
  <c r="T100" i="20" s="1"/>
  <c r="V100" i="20" s="1"/>
  <c r="N99" i="20"/>
  <c r="T99" i="20" s="1"/>
  <c r="V99" i="20" s="1"/>
  <c r="N98" i="20"/>
  <c r="T98" i="20" s="1"/>
  <c r="N95" i="20"/>
  <c r="T95" i="20" s="1"/>
  <c r="V95" i="20" s="1"/>
  <c r="L93" i="20"/>
  <c r="N92" i="20"/>
  <c r="T92" i="20" s="1"/>
  <c r="V92" i="20" s="1"/>
  <c r="N91" i="20"/>
  <c r="T91" i="20" s="1"/>
  <c r="V91" i="20" s="1"/>
  <c r="L91" i="20"/>
  <c r="L88" i="20"/>
  <c r="N88" i="20"/>
  <c r="T88" i="20" s="1"/>
  <c r="N86" i="20"/>
  <c r="T86" i="20" s="1"/>
  <c r="N85" i="20"/>
  <c r="T85" i="20" s="1"/>
  <c r="L85" i="20"/>
  <c r="N84" i="20"/>
  <c r="T84" i="20" s="1"/>
  <c r="N83" i="20"/>
  <c r="T83" i="20" s="1"/>
  <c r="L83" i="20"/>
  <c r="L82" i="20"/>
  <c r="N82" i="20"/>
  <c r="T82" i="20" s="1"/>
  <c r="L81" i="20"/>
  <c r="L80" i="20"/>
  <c r="N80" i="20"/>
  <c r="T80" i="20" s="1"/>
  <c r="N30" i="20"/>
  <c r="T30" i="20" s="1"/>
  <c r="V30" i="20" s="1"/>
  <c r="N28" i="20"/>
  <c r="T28" i="20" s="1"/>
  <c r="V28" i="20" s="1"/>
  <c r="N26" i="20"/>
  <c r="T26" i="20" s="1"/>
  <c r="N25" i="20"/>
  <c r="T25" i="20" s="1"/>
  <c r="N18" i="20"/>
  <c r="T18" i="20" s="1"/>
  <c r="V18" i="20" s="1"/>
  <c r="N17" i="20"/>
  <c r="T17" i="20" s="1"/>
  <c r="V17" i="20" s="1"/>
  <c r="N16" i="20"/>
  <c r="T16" i="20" s="1"/>
  <c r="V16" i="20" s="1"/>
  <c r="N300" i="20"/>
  <c r="T300" i="20" s="1"/>
  <c r="V300" i="20" s="1"/>
  <c r="N296" i="20"/>
  <c r="T296" i="20" s="1"/>
  <c r="N295" i="20"/>
  <c r="T295" i="20" s="1"/>
  <c r="V295" i="20" s="1"/>
  <c r="N110" i="20"/>
  <c r="T110" i="20" s="1"/>
  <c r="V110" i="20" s="1"/>
  <c r="N11" i="20"/>
  <c r="T11" i="20" s="1"/>
  <c r="V11" i="20" s="1"/>
  <c r="N10" i="20"/>
  <c r="T10" i="20" s="1"/>
  <c r="V10" i="20" s="1"/>
  <c r="N9" i="20"/>
  <c r="T9" i="20" s="1"/>
  <c r="V9" i="20" s="1"/>
  <c r="N8" i="20"/>
  <c r="T8" i="20" s="1"/>
  <c r="V8" i="20" s="1"/>
  <c r="N253" i="20"/>
  <c r="T253" i="20" s="1"/>
  <c r="V253" i="20" s="1"/>
  <c r="N302" i="20"/>
  <c r="T302" i="20" s="1"/>
  <c r="V302" i="20" s="1"/>
  <c r="N301" i="20"/>
  <c r="T301" i="20" s="1"/>
  <c r="V301" i="20" s="1"/>
  <c r="G220" i="20"/>
  <c r="M315" i="20"/>
  <c r="Q315" i="20" s="1"/>
  <c r="S315" i="20" s="1"/>
  <c r="G316" i="20"/>
  <c r="I220" i="20"/>
  <c r="K220" i="20" s="1"/>
  <c r="H317" i="20"/>
  <c r="J319" i="20"/>
  <c r="F316" i="20"/>
  <c r="H316" i="20"/>
  <c r="M316" i="20"/>
  <c r="Q316" i="20" s="1"/>
  <c r="S316" i="20" s="1"/>
  <c r="F317" i="20"/>
  <c r="I317" i="20"/>
  <c r="K317" i="20" s="1"/>
  <c r="I315" i="20"/>
  <c r="K315" i="20" s="1"/>
  <c r="G216" i="20"/>
  <c r="M217" i="20"/>
  <c r="Q217" i="20" s="1"/>
  <c r="S217" i="20" s="1"/>
  <c r="I217" i="20"/>
  <c r="K217" i="20" s="1"/>
  <c r="F218" i="20"/>
  <c r="J219" i="20"/>
  <c r="G219" i="20"/>
  <c r="M220" i="20"/>
  <c r="Q220" i="20" s="1"/>
  <c r="S220" i="20" s="1"/>
  <c r="F220" i="20"/>
  <c r="I221" i="20"/>
  <c r="K221" i="20" s="1"/>
  <c r="J222" i="20"/>
  <c r="H222" i="20"/>
  <c r="J223" i="20"/>
  <c r="F221" i="20"/>
  <c r="G221" i="20"/>
  <c r="M221" i="20"/>
  <c r="Q221" i="20" s="1"/>
  <c r="S221" i="20" s="1"/>
  <c r="J221" i="20"/>
  <c r="H221" i="20"/>
  <c r="M222" i="20"/>
  <c r="Q222" i="20" s="1"/>
  <c r="S222" i="20" s="1"/>
  <c r="F222" i="20"/>
  <c r="G222" i="20"/>
  <c r="I222" i="20"/>
  <c r="K222" i="20" s="1"/>
  <c r="M223" i="20"/>
  <c r="Q223" i="20" s="1"/>
  <c r="S223" i="20" s="1"/>
  <c r="J316" i="20"/>
  <c r="G317" i="20"/>
  <c r="J317" i="20"/>
  <c r="M317" i="20"/>
  <c r="Q317" i="20" s="1"/>
  <c r="S317" i="20" s="1"/>
  <c r="F318" i="20"/>
  <c r="G318" i="20"/>
  <c r="H318" i="20"/>
  <c r="I318" i="20"/>
  <c r="K318" i="20" s="1"/>
  <c r="J318" i="20"/>
  <c r="M318" i="20"/>
  <c r="Q318" i="20" s="1"/>
  <c r="S318" i="20" s="1"/>
  <c r="F319" i="20"/>
  <c r="G319" i="20"/>
  <c r="H319" i="20"/>
  <c r="I319" i="20"/>
  <c r="K319" i="20" s="1"/>
  <c r="F223" i="20"/>
  <c r="I223" i="20"/>
  <c r="K223" i="20" s="1"/>
  <c r="H223" i="20"/>
  <c r="G223" i="20"/>
  <c r="J224" i="20"/>
  <c r="M224" i="20"/>
  <c r="Q224" i="20" s="1"/>
  <c r="S224" i="20" s="1"/>
  <c r="F224" i="20"/>
  <c r="G224" i="20"/>
  <c r="H224" i="20"/>
  <c r="I316" i="20"/>
  <c r="K316" i="20" s="1"/>
  <c r="J315" i="20"/>
  <c r="M216" i="20"/>
  <c r="Q216" i="20" s="1"/>
  <c r="S216" i="20" s="1"/>
  <c r="F216" i="20"/>
  <c r="H216" i="20"/>
  <c r="I216" i="20"/>
  <c r="J217" i="20"/>
  <c r="F217" i="20"/>
  <c r="G217" i="20"/>
  <c r="H217" i="20"/>
  <c r="J218" i="20"/>
  <c r="M218" i="20"/>
  <c r="Q218" i="20" s="1"/>
  <c r="S218" i="20" s="1"/>
  <c r="G218" i="20"/>
  <c r="H218" i="20"/>
  <c r="I218" i="20"/>
  <c r="K218" i="20" s="1"/>
  <c r="M219" i="20"/>
  <c r="Q219" i="20" s="1"/>
  <c r="S219" i="20" s="1"/>
  <c r="F219" i="20"/>
  <c r="H219" i="20"/>
  <c r="I219" i="20"/>
  <c r="K219" i="20" s="1"/>
  <c r="J220" i="20"/>
  <c r="H220" i="20"/>
  <c r="M320" i="20"/>
  <c r="Q320" i="20" s="1"/>
  <c r="S320" i="20" s="1"/>
  <c r="J320" i="20"/>
  <c r="I320" i="20"/>
  <c r="K320" i="20" s="1"/>
  <c r="H320" i="20"/>
  <c r="G320" i="20"/>
  <c r="F320" i="20"/>
  <c r="M319" i="20"/>
  <c r="Q319" i="20" s="1"/>
  <c r="S319" i="20" s="1"/>
  <c r="M333" i="20"/>
  <c r="Q333" i="20" s="1"/>
  <c r="S333" i="20" s="1"/>
  <c r="J329" i="20"/>
  <c r="G321" i="20"/>
  <c r="H321" i="20"/>
  <c r="I321" i="20"/>
  <c r="K321" i="20" s="1"/>
  <c r="J321" i="20"/>
  <c r="M321" i="20"/>
  <c r="Q321" i="20" s="1"/>
  <c r="S321" i="20" s="1"/>
  <c r="F322" i="20"/>
  <c r="G322" i="20"/>
  <c r="H322" i="20"/>
  <c r="I322" i="20"/>
  <c r="K322" i="20" s="1"/>
  <c r="J322" i="20"/>
  <c r="M322" i="20"/>
  <c r="Q322" i="20" s="1"/>
  <c r="S322" i="20" s="1"/>
  <c r="F323" i="20"/>
  <c r="G323" i="20"/>
  <c r="H323" i="20"/>
  <c r="I323" i="20"/>
  <c r="K323" i="20" s="1"/>
  <c r="J323" i="20"/>
  <c r="M323" i="20"/>
  <c r="Q323" i="20" s="1"/>
  <c r="S323" i="20" s="1"/>
  <c r="F324" i="20"/>
  <c r="G324" i="20"/>
  <c r="H324" i="20"/>
  <c r="F237" i="20"/>
  <c r="O237" i="20" s="1"/>
  <c r="M237" i="20"/>
  <c r="Q237" i="20" s="1"/>
  <c r="S237" i="20" s="1"/>
  <c r="J237" i="20"/>
  <c r="I237" i="20"/>
  <c r="K237" i="20" s="1"/>
  <c r="H237" i="20"/>
  <c r="G237" i="20"/>
  <c r="I236" i="20"/>
  <c r="K236" i="20" s="1"/>
  <c r="F236" i="20"/>
  <c r="O236" i="20" s="1"/>
  <c r="P236" i="20" s="1"/>
  <c r="G236" i="20"/>
  <c r="H236" i="20"/>
  <c r="M236" i="20"/>
  <c r="Q236" i="20" s="1"/>
  <c r="S236" i="20" s="1"/>
  <c r="J236" i="20"/>
  <c r="I235" i="20"/>
  <c r="K235" i="20" s="1"/>
  <c r="H235" i="20"/>
  <c r="G235" i="20"/>
  <c r="F235" i="20"/>
  <c r="O235" i="20" s="1"/>
  <c r="P235" i="20" s="1"/>
  <c r="M235" i="20"/>
  <c r="Q235" i="20" s="1"/>
  <c r="S235" i="20" s="1"/>
  <c r="J235" i="20"/>
  <c r="I234" i="20"/>
  <c r="K234" i="20" s="1"/>
  <c r="H234" i="20"/>
  <c r="G234" i="20"/>
  <c r="F234" i="20"/>
  <c r="O234" i="20" s="1"/>
  <c r="M234" i="20"/>
  <c r="Q234" i="20" s="1"/>
  <c r="S234" i="20" s="1"/>
  <c r="J234" i="20"/>
  <c r="I233" i="20"/>
  <c r="K233" i="20" s="1"/>
  <c r="H233" i="20"/>
  <c r="G233" i="20"/>
  <c r="F233" i="20"/>
  <c r="O233" i="20" s="1"/>
  <c r="M233" i="20"/>
  <c r="Q233" i="20" s="1"/>
  <c r="S233" i="20" s="1"/>
  <c r="J233" i="20"/>
  <c r="I232" i="20"/>
  <c r="K232" i="20" s="1"/>
  <c r="H232" i="20"/>
  <c r="G232" i="20"/>
  <c r="F232" i="20"/>
  <c r="O232" i="20" s="1"/>
  <c r="M232" i="20"/>
  <c r="Q232" i="20" s="1"/>
  <c r="S232" i="20" s="1"/>
  <c r="J232" i="20"/>
  <c r="I231" i="20"/>
  <c r="K231" i="20" s="1"/>
  <c r="H231" i="20"/>
  <c r="G231" i="20"/>
  <c r="F231" i="20"/>
  <c r="O231" i="20" s="1"/>
  <c r="M231" i="20"/>
  <c r="Q231" i="20" s="1"/>
  <c r="S231" i="20" s="1"/>
  <c r="J231" i="20"/>
  <c r="H230" i="20"/>
  <c r="J230" i="20"/>
  <c r="M230" i="20"/>
  <c r="Q230" i="20" s="1"/>
  <c r="S230" i="20" s="1"/>
  <c r="I230" i="20"/>
  <c r="K230" i="20" s="1"/>
  <c r="G230" i="20"/>
  <c r="F230" i="20"/>
  <c r="O230" i="20" s="1"/>
  <c r="I229" i="20"/>
  <c r="K229" i="20" s="1"/>
  <c r="F229" i="20"/>
  <c r="O229" i="20" s="1"/>
  <c r="G229" i="20"/>
  <c r="H229" i="20"/>
  <c r="M229" i="20"/>
  <c r="Q229" i="20" s="1"/>
  <c r="S229" i="20" s="1"/>
  <c r="J229" i="20"/>
  <c r="I228" i="20"/>
  <c r="K228" i="20" s="1"/>
  <c r="H228" i="20"/>
  <c r="G228" i="20"/>
  <c r="F228" i="20"/>
  <c r="O228" i="20" s="1"/>
  <c r="M228" i="20"/>
  <c r="Q228" i="20" s="1"/>
  <c r="S228" i="20" s="1"/>
  <c r="J228" i="20"/>
  <c r="I227" i="20"/>
  <c r="K227" i="20" s="1"/>
  <c r="H227" i="20"/>
  <c r="G227" i="20"/>
  <c r="F227" i="20"/>
  <c r="M227" i="20"/>
  <c r="Q227" i="20" s="1"/>
  <c r="S227" i="20" s="1"/>
  <c r="J227" i="20"/>
  <c r="I226" i="20"/>
  <c r="K226" i="20" s="1"/>
  <c r="H226" i="20"/>
  <c r="G226" i="20"/>
  <c r="F226" i="20"/>
  <c r="M226" i="20"/>
  <c r="Q226" i="20" s="1"/>
  <c r="S226" i="20" s="1"/>
  <c r="J226" i="20"/>
  <c r="I225" i="20"/>
  <c r="K225" i="20" s="1"/>
  <c r="H225" i="20"/>
  <c r="G225" i="20"/>
  <c r="F225" i="20"/>
  <c r="M225" i="20"/>
  <c r="Q225" i="20" s="1"/>
  <c r="S225" i="20" s="1"/>
  <c r="J225" i="20"/>
  <c r="I224" i="20"/>
  <c r="K224" i="20" s="1"/>
  <c r="I324" i="20"/>
  <c r="K324" i="20" s="1"/>
  <c r="J324" i="20"/>
  <c r="M324" i="20"/>
  <c r="Q324" i="20" s="1"/>
  <c r="S324" i="20" s="1"/>
  <c r="F325" i="20"/>
  <c r="G325" i="20"/>
  <c r="H325" i="20"/>
  <c r="I325" i="20"/>
  <c r="K325" i="20" s="1"/>
  <c r="J325" i="20"/>
  <c r="M325" i="20"/>
  <c r="Q325" i="20" s="1"/>
  <c r="S325" i="20" s="1"/>
  <c r="F326" i="20"/>
  <c r="G326" i="20"/>
  <c r="H326" i="20"/>
  <c r="I326" i="20"/>
  <c r="K326" i="20" s="1"/>
  <c r="J326" i="20"/>
  <c r="M326" i="20"/>
  <c r="Q326" i="20" s="1"/>
  <c r="S326" i="20" s="1"/>
  <c r="F327" i="20"/>
  <c r="G327" i="20"/>
  <c r="H327" i="20"/>
  <c r="I327" i="20"/>
  <c r="K327" i="20" s="1"/>
  <c r="J327" i="20"/>
  <c r="M327" i="20"/>
  <c r="Q327" i="20" s="1"/>
  <c r="S327" i="20" s="1"/>
  <c r="I195" i="20"/>
  <c r="K195" i="20" s="1"/>
  <c r="H195" i="20"/>
  <c r="G195" i="20"/>
  <c r="F195" i="20"/>
  <c r="M195" i="20"/>
  <c r="Q195" i="20" s="1"/>
  <c r="S195" i="20" s="1"/>
  <c r="J195" i="20"/>
  <c r="I194" i="20"/>
  <c r="K194" i="20" s="1"/>
  <c r="H194" i="20"/>
  <c r="G194" i="20"/>
  <c r="F194" i="20"/>
  <c r="M194" i="20"/>
  <c r="Q194" i="20" s="1"/>
  <c r="S194" i="20" s="1"/>
  <c r="J194" i="20"/>
  <c r="I193" i="20"/>
  <c r="K193" i="20" s="1"/>
  <c r="H193" i="20"/>
  <c r="G193" i="20"/>
  <c r="F193" i="20"/>
  <c r="M193" i="20"/>
  <c r="Q193" i="20" s="1"/>
  <c r="S193" i="20" s="1"/>
  <c r="J193" i="20"/>
  <c r="I192" i="20"/>
  <c r="K192" i="20" s="1"/>
  <c r="H192" i="20"/>
  <c r="G192" i="20"/>
  <c r="F192" i="20"/>
  <c r="M192" i="20"/>
  <c r="Q192" i="20" s="1"/>
  <c r="S192" i="20" s="1"/>
  <c r="J192" i="20"/>
  <c r="G191" i="20"/>
  <c r="H191" i="20"/>
  <c r="I191" i="20"/>
  <c r="K191" i="20" s="1"/>
  <c r="F191" i="20"/>
  <c r="M191" i="20"/>
  <c r="Q191" i="20" s="1"/>
  <c r="S191" i="20" s="1"/>
  <c r="J191" i="20"/>
  <c r="I190" i="20"/>
  <c r="K190" i="20" s="1"/>
  <c r="H190" i="20"/>
  <c r="G190" i="20"/>
  <c r="F190" i="20"/>
  <c r="M190" i="20"/>
  <c r="Q190" i="20" s="1"/>
  <c r="S190" i="20" s="1"/>
  <c r="J190" i="20"/>
  <c r="H189" i="20"/>
  <c r="J189" i="20"/>
  <c r="M189" i="20"/>
  <c r="Q189" i="20" s="1"/>
  <c r="S189" i="20" s="1"/>
  <c r="I189" i="20"/>
  <c r="K189" i="20" s="1"/>
  <c r="G189" i="20"/>
  <c r="F189" i="20"/>
  <c r="I188" i="20"/>
  <c r="K188" i="20" s="1"/>
  <c r="F188" i="20"/>
  <c r="G188" i="20"/>
  <c r="H188" i="20"/>
  <c r="M188" i="20"/>
  <c r="Q188" i="20" s="1"/>
  <c r="S188" i="20" s="1"/>
  <c r="J188" i="20"/>
  <c r="I187" i="20"/>
  <c r="K187" i="20" s="1"/>
  <c r="H187" i="20"/>
  <c r="G187" i="20"/>
  <c r="F187" i="20"/>
  <c r="M187" i="20"/>
  <c r="Q187" i="20" s="1"/>
  <c r="S187" i="20" s="1"/>
  <c r="J187" i="20"/>
  <c r="I186" i="20"/>
  <c r="K186" i="20" s="1"/>
  <c r="H186" i="20"/>
  <c r="G186" i="20"/>
  <c r="F186" i="20"/>
  <c r="M186" i="20"/>
  <c r="Q186" i="20" s="1"/>
  <c r="S186" i="20" s="1"/>
  <c r="J186" i="20"/>
  <c r="I185" i="20"/>
  <c r="K185" i="20" s="1"/>
  <c r="H185" i="20"/>
  <c r="G185" i="20"/>
  <c r="F185" i="20"/>
  <c r="M185" i="20"/>
  <c r="Q185" i="20" s="1"/>
  <c r="S185" i="20" s="1"/>
  <c r="J185" i="20"/>
  <c r="I184" i="20"/>
  <c r="K184" i="20" s="1"/>
  <c r="H184" i="20"/>
  <c r="G184" i="20"/>
  <c r="F184" i="20"/>
  <c r="M184" i="20"/>
  <c r="Q184" i="20" s="1"/>
  <c r="S184" i="20" s="1"/>
  <c r="J184" i="20"/>
  <c r="H183" i="20"/>
  <c r="M183" i="20"/>
  <c r="Q183" i="20" s="1"/>
  <c r="S183" i="20" s="1"/>
  <c r="J183" i="20"/>
  <c r="I183" i="20"/>
  <c r="K183" i="20" s="1"/>
  <c r="G183" i="20"/>
  <c r="F183" i="20"/>
  <c r="I182" i="20"/>
  <c r="K182" i="20" s="1"/>
  <c r="F182" i="20"/>
  <c r="G182" i="20"/>
  <c r="H182" i="20"/>
  <c r="M182" i="20"/>
  <c r="Q182" i="20" s="1"/>
  <c r="S182" i="20" s="1"/>
  <c r="J182" i="20"/>
  <c r="I181" i="20"/>
  <c r="K181" i="20" s="1"/>
  <c r="H181" i="20"/>
  <c r="G181" i="20"/>
  <c r="F181" i="20"/>
  <c r="M181" i="20"/>
  <c r="Q181" i="20" s="1"/>
  <c r="S181" i="20" s="1"/>
  <c r="J181" i="20"/>
  <c r="I180" i="20"/>
  <c r="K180" i="20" s="1"/>
  <c r="H180" i="20"/>
  <c r="G180" i="20"/>
  <c r="F180" i="20"/>
  <c r="M180" i="20"/>
  <c r="Q180" i="20" s="1"/>
  <c r="S180" i="20" s="1"/>
  <c r="J180" i="20"/>
  <c r="I179" i="20"/>
  <c r="H179" i="20"/>
  <c r="G179" i="20"/>
  <c r="F179" i="20"/>
  <c r="H150" i="20"/>
  <c r="G150" i="20"/>
  <c r="F150" i="20"/>
  <c r="M149" i="20"/>
  <c r="Q149" i="20" s="1"/>
  <c r="S149" i="20" s="1"/>
  <c r="J149" i="20"/>
  <c r="I149" i="20"/>
  <c r="K149" i="20" s="1"/>
  <c r="H149" i="20"/>
  <c r="G149" i="20"/>
  <c r="F149" i="20"/>
  <c r="F148" i="20"/>
  <c r="G148" i="20"/>
  <c r="H148" i="20"/>
  <c r="I148" i="20"/>
  <c r="K148" i="20" s="1"/>
  <c r="J148" i="20"/>
  <c r="M148" i="20"/>
  <c r="Q148" i="20" s="1"/>
  <c r="S148" i="20" s="1"/>
  <c r="G147" i="20"/>
  <c r="F147" i="20"/>
  <c r="M147" i="20"/>
  <c r="Q147" i="20" s="1"/>
  <c r="S147" i="20" s="1"/>
  <c r="J147" i="20"/>
  <c r="I147" i="20"/>
  <c r="K147" i="20" s="1"/>
  <c r="H147" i="20"/>
  <c r="F146" i="20"/>
  <c r="G146" i="20"/>
  <c r="H146" i="20"/>
  <c r="I146" i="20"/>
  <c r="K146" i="20" s="1"/>
  <c r="J146" i="20"/>
  <c r="M146" i="20"/>
  <c r="Q146" i="20" s="1"/>
  <c r="S146" i="20" s="1"/>
  <c r="G145" i="20"/>
  <c r="M145" i="20"/>
  <c r="Q145" i="20" s="1"/>
  <c r="S145" i="20" s="1"/>
  <c r="J145" i="20"/>
  <c r="I145" i="20"/>
  <c r="K145" i="20" s="1"/>
  <c r="H145" i="20"/>
  <c r="F145" i="20"/>
  <c r="M144" i="20"/>
  <c r="Q144" i="20" s="1"/>
  <c r="S144" i="20" s="1"/>
  <c r="J144" i="20"/>
  <c r="I144" i="20"/>
  <c r="K144" i="20" s="1"/>
  <c r="H144" i="20"/>
  <c r="G144" i="20"/>
  <c r="F144" i="20"/>
  <c r="G143" i="20"/>
  <c r="F143" i="20"/>
  <c r="M143" i="20"/>
  <c r="Q143" i="20" s="1"/>
  <c r="S143" i="20" s="1"/>
  <c r="J143" i="20"/>
  <c r="I143" i="20"/>
  <c r="K143" i="20" s="1"/>
  <c r="H143" i="20"/>
  <c r="M142" i="20"/>
  <c r="Q142" i="20" s="1"/>
  <c r="S142" i="20" s="1"/>
  <c r="J142" i="20"/>
  <c r="I142" i="20"/>
  <c r="K142" i="20" s="1"/>
  <c r="H142" i="20"/>
  <c r="G142" i="20"/>
  <c r="F142" i="20"/>
  <c r="G141" i="20"/>
  <c r="F141" i="20"/>
  <c r="M141" i="20"/>
  <c r="Q141" i="20" s="1"/>
  <c r="S141" i="20" s="1"/>
  <c r="J141" i="20"/>
  <c r="I141" i="20"/>
  <c r="K141" i="20" s="1"/>
  <c r="H141" i="20"/>
  <c r="I140" i="20"/>
  <c r="K140" i="20" s="1"/>
  <c r="H140" i="20"/>
  <c r="F140" i="20"/>
  <c r="G140" i="20"/>
  <c r="J140" i="20"/>
  <c r="M140" i="20"/>
  <c r="Q140" i="20" s="1"/>
  <c r="S140" i="20" s="1"/>
  <c r="G139" i="20"/>
  <c r="I139" i="20"/>
  <c r="K139" i="20" s="1"/>
  <c r="M139" i="20"/>
  <c r="Q139" i="20" s="1"/>
  <c r="S139" i="20" s="1"/>
  <c r="J139" i="20"/>
  <c r="H139" i="20"/>
  <c r="F139" i="20"/>
  <c r="F138" i="20"/>
  <c r="G138" i="20"/>
  <c r="H138" i="20"/>
  <c r="I138" i="20"/>
  <c r="K138" i="20" s="1"/>
  <c r="J138" i="20"/>
  <c r="M138" i="20"/>
  <c r="Q138" i="20" s="1"/>
  <c r="S138" i="20" s="1"/>
  <c r="M137" i="20"/>
  <c r="Q137" i="20" s="1"/>
  <c r="S137" i="20" s="1"/>
  <c r="J137" i="20"/>
  <c r="I137" i="20"/>
  <c r="K137" i="20" s="1"/>
  <c r="H137" i="20"/>
  <c r="G137" i="20"/>
  <c r="F137" i="20"/>
  <c r="M136" i="20"/>
  <c r="Q136" i="20" s="1"/>
  <c r="S136" i="20" s="1"/>
  <c r="J136" i="20"/>
  <c r="I136" i="20"/>
  <c r="K136" i="20" s="1"/>
  <c r="H136" i="20"/>
  <c r="G136" i="20"/>
  <c r="F136" i="20"/>
  <c r="M135" i="20"/>
  <c r="Q135" i="20" s="1"/>
  <c r="S135" i="20" s="1"/>
  <c r="J135" i="20"/>
  <c r="I135" i="20"/>
  <c r="K135" i="20" s="1"/>
  <c r="H135" i="20"/>
  <c r="G135" i="20"/>
  <c r="F135" i="20"/>
  <c r="M134" i="20"/>
  <c r="Q134" i="20" s="1"/>
  <c r="S134" i="20" s="1"/>
  <c r="J134" i="20"/>
  <c r="I134" i="20"/>
  <c r="K134" i="20" s="1"/>
  <c r="H134" i="20"/>
  <c r="G134" i="20"/>
  <c r="F134" i="20"/>
  <c r="M133" i="20"/>
  <c r="Q133" i="20" s="1"/>
  <c r="S133" i="20" s="1"/>
  <c r="J133" i="20"/>
  <c r="I133" i="20"/>
  <c r="K133" i="20" s="1"/>
  <c r="H133" i="20"/>
  <c r="G133" i="20"/>
  <c r="F133" i="20"/>
  <c r="M132" i="20"/>
  <c r="Q132" i="20" s="1"/>
  <c r="S132" i="20" s="1"/>
  <c r="J132" i="20"/>
  <c r="I132" i="20"/>
  <c r="K132" i="20" s="1"/>
  <c r="H132" i="20"/>
  <c r="G132" i="20"/>
  <c r="F132" i="20"/>
  <c r="H333" i="20"/>
  <c r="G333" i="20"/>
  <c r="F333" i="20"/>
  <c r="M332" i="20"/>
  <c r="Q332" i="20" s="1"/>
  <c r="S332" i="20" s="1"/>
  <c r="J332" i="20"/>
  <c r="I332" i="20"/>
  <c r="K332" i="20" s="1"/>
  <c r="H332" i="20"/>
  <c r="G332" i="20"/>
  <c r="F332" i="20"/>
  <c r="M331" i="20"/>
  <c r="Q331" i="20" s="1"/>
  <c r="S331" i="20" s="1"/>
  <c r="J331" i="20"/>
  <c r="I331" i="20"/>
  <c r="K331" i="20" s="1"/>
  <c r="H331" i="20"/>
  <c r="G331" i="20"/>
  <c r="F331" i="20"/>
  <c r="M330" i="20"/>
  <c r="Q330" i="20" s="1"/>
  <c r="S330" i="20" s="1"/>
  <c r="C220" i="25"/>
  <c r="J220" i="25"/>
  <c r="I220" i="25"/>
  <c r="H220" i="25"/>
  <c r="G220" i="25"/>
  <c r="F220" i="25"/>
  <c r="K219" i="25"/>
  <c r="J219" i="25"/>
  <c r="I219" i="25"/>
  <c r="H219" i="25"/>
  <c r="G219" i="25"/>
  <c r="C221" i="25"/>
  <c r="F221" i="25"/>
  <c r="G221" i="25"/>
  <c r="H221" i="25"/>
  <c r="I221" i="25"/>
  <c r="J221" i="25"/>
  <c r="F219" i="25"/>
  <c r="J333" i="20"/>
  <c r="F328" i="20"/>
  <c r="I333" i="20"/>
  <c r="K333" i="20" s="1"/>
  <c r="C219" i="25"/>
  <c r="K218" i="25"/>
  <c r="J218" i="25"/>
  <c r="I218" i="25"/>
  <c r="H218" i="25"/>
  <c r="G218" i="25"/>
  <c r="F218" i="25"/>
  <c r="I222" i="25"/>
  <c r="C218" i="25"/>
  <c r="K221" i="25"/>
  <c r="C222" i="25"/>
  <c r="F222" i="25"/>
  <c r="G222" i="25"/>
  <c r="H222" i="25"/>
  <c r="G216" i="25"/>
  <c r="H216" i="25"/>
  <c r="I216" i="25"/>
  <c r="J216" i="25"/>
  <c r="K216" i="25"/>
  <c r="H229" i="25"/>
  <c r="G229" i="25"/>
  <c r="F229" i="25"/>
  <c r="C229" i="25"/>
  <c r="K228" i="25"/>
  <c r="J228" i="25"/>
  <c r="I228" i="25"/>
  <c r="H228" i="25"/>
  <c r="G228" i="25"/>
  <c r="F228" i="25"/>
  <c r="C228" i="25"/>
  <c r="K227" i="25"/>
  <c r="J227" i="25"/>
  <c r="I227" i="25"/>
  <c r="H227" i="25"/>
  <c r="F77" i="20"/>
  <c r="G77" i="20"/>
  <c r="H77" i="20"/>
  <c r="I77" i="20"/>
  <c r="K77" i="20" s="1"/>
  <c r="J77" i="20"/>
  <c r="M77" i="20"/>
  <c r="Q77" i="20" s="1"/>
  <c r="S77" i="20" s="1"/>
  <c r="G76" i="20"/>
  <c r="F76" i="20"/>
  <c r="O76" i="20" s="1"/>
  <c r="M76" i="20"/>
  <c r="Q76" i="20" s="1"/>
  <c r="S76" i="20" s="1"/>
  <c r="J76" i="20"/>
  <c r="I76" i="20"/>
  <c r="K76" i="20" s="1"/>
  <c r="H76" i="20"/>
  <c r="F75" i="20"/>
  <c r="F321" i="20"/>
  <c r="H75" i="20"/>
  <c r="I75" i="20"/>
  <c r="K75" i="20" s="1"/>
  <c r="J75" i="20"/>
  <c r="M75" i="20"/>
  <c r="Q75" i="20" s="1"/>
  <c r="S75" i="20" s="1"/>
  <c r="G74" i="20"/>
  <c r="F74" i="20"/>
  <c r="M74" i="20"/>
  <c r="Q74" i="20" s="1"/>
  <c r="S74" i="20" s="1"/>
  <c r="J74" i="20"/>
  <c r="I74" i="20"/>
  <c r="K74" i="20" s="1"/>
  <c r="H74" i="20"/>
  <c r="M73" i="20"/>
  <c r="Q73" i="20" s="1"/>
  <c r="S73" i="20" s="1"/>
  <c r="J73" i="20"/>
  <c r="I73" i="20"/>
  <c r="K73" i="20" s="1"/>
  <c r="F73" i="20"/>
  <c r="G73" i="20"/>
  <c r="H73" i="20"/>
  <c r="I72" i="20"/>
  <c r="K72" i="20" s="1"/>
  <c r="M72" i="20"/>
  <c r="Q72" i="20" s="1"/>
  <c r="S72" i="20" s="1"/>
  <c r="F72" i="20"/>
  <c r="G72" i="20"/>
  <c r="H72" i="20"/>
  <c r="J72" i="20"/>
  <c r="M71" i="20"/>
  <c r="Q71" i="20" s="1"/>
  <c r="S71" i="20" s="1"/>
  <c r="J71" i="20"/>
  <c r="I71" i="20"/>
  <c r="K71" i="20" s="1"/>
  <c r="H71" i="20"/>
  <c r="G71" i="20"/>
  <c r="F71" i="20"/>
  <c r="M70" i="20"/>
  <c r="Q70" i="20" s="1"/>
  <c r="S70" i="20" s="1"/>
  <c r="J70" i="20"/>
  <c r="I70" i="20"/>
  <c r="K70" i="20" s="1"/>
  <c r="H70" i="20"/>
  <c r="G70" i="20"/>
  <c r="F70" i="20"/>
  <c r="M69" i="20"/>
  <c r="Q69" i="20" s="1"/>
  <c r="S69" i="20" s="1"/>
  <c r="J69" i="20"/>
  <c r="I69" i="20"/>
  <c r="K69" i="20" s="1"/>
  <c r="H69" i="20"/>
  <c r="G69" i="20"/>
  <c r="F69" i="20"/>
  <c r="M68" i="20"/>
  <c r="Q68" i="20" s="1"/>
  <c r="S68" i="20" s="1"/>
  <c r="J68" i="20"/>
  <c r="I68" i="20"/>
  <c r="K68" i="20" s="1"/>
  <c r="H68" i="20"/>
  <c r="G68" i="20"/>
  <c r="F68" i="20"/>
  <c r="M67" i="20"/>
  <c r="Q67" i="20" s="1"/>
  <c r="S67" i="20" s="1"/>
  <c r="J67" i="20"/>
  <c r="I67" i="20"/>
  <c r="K67" i="20" s="1"/>
  <c r="H67" i="20"/>
  <c r="G67" i="20"/>
  <c r="F67" i="20"/>
  <c r="M66" i="20"/>
  <c r="Q66" i="20" s="1"/>
  <c r="S66" i="20" s="1"/>
  <c r="I66" i="20"/>
  <c r="K66" i="20" s="1"/>
  <c r="G66" i="20"/>
  <c r="F66" i="20"/>
  <c r="H66" i="20"/>
  <c r="J66" i="20"/>
  <c r="H65" i="20"/>
  <c r="J65" i="20"/>
  <c r="M65" i="20"/>
  <c r="Q65" i="20" s="1"/>
  <c r="S65" i="20" s="1"/>
  <c r="I65" i="20"/>
  <c r="K65" i="20" s="1"/>
  <c r="G65" i="20"/>
  <c r="F65" i="20"/>
  <c r="F64" i="20"/>
  <c r="G64" i="20"/>
  <c r="H64" i="20"/>
  <c r="I64" i="20"/>
  <c r="K64" i="20" s="1"/>
  <c r="J64" i="20"/>
  <c r="M64" i="20"/>
  <c r="Q64" i="20" s="1"/>
  <c r="S64" i="20" s="1"/>
  <c r="M63" i="20"/>
  <c r="Q63" i="20" s="1"/>
  <c r="S63" i="20" s="1"/>
  <c r="J63" i="20"/>
  <c r="I63" i="20"/>
  <c r="K63" i="20" s="1"/>
  <c r="H63" i="20"/>
  <c r="G63" i="20"/>
  <c r="F63" i="20"/>
  <c r="M62" i="20"/>
  <c r="Q62" i="20" s="1"/>
  <c r="S62" i="20" s="1"/>
  <c r="J62" i="20"/>
  <c r="I62" i="20"/>
  <c r="K62" i="20" s="1"/>
  <c r="H62" i="20"/>
  <c r="G62" i="20"/>
  <c r="F62" i="20"/>
  <c r="M61" i="20"/>
  <c r="Q61" i="20" s="1"/>
  <c r="S61" i="20" s="1"/>
  <c r="J61" i="20"/>
  <c r="I61" i="20"/>
  <c r="K61" i="20" s="1"/>
  <c r="H61" i="20"/>
  <c r="G61" i="20"/>
  <c r="F61" i="20"/>
  <c r="M60" i="20"/>
  <c r="Q60" i="20" s="1"/>
  <c r="S60" i="20" s="1"/>
  <c r="J60" i="20"/>
  <c r="I38" i="20"/>
  <c r="K38" i="20" s="1"/>
  <c r="M38" i="20"/>
  <c r="Q38" i="20" s="1"/>
  <c r="S38" i="20" s="1"/>
  <c r="M37" i="20"/>
  <c r="Q37" i="20" s="1"/>
  <c r="S37" i="20" s="1"/>
  <c r="J37" i="20"/>
  <c r="H37" i="20"/>
  <c r="G37" i="20"/>
  <c r="F36" i="20"/>
  <c r="O36" i="20" s="1"/>
  <c r="P36" i="20" s="1"/>
  <c r="G36" i="20"/>
  <c r="I36" i="20"/>
  <c r="K36" i="20" s="1"/>
  <c r="J36" i="20"/>
  <c r="F35" i="20"/>
  <c r="O35" i="20" s="1"/>
  <c r="P35" i="20" s="1"/>
  <c r="J35" i="20"/>
  <c r="I35" i="20"/>
  <c r="K35" i="20" s="1"/>
  <c r="G35" i="20"/>
  <c r="F34" i="20"/>
  <c r="O34" i="20" s="1"/>
  <c r="P34" i="20" s="1"/>
  <c r="H34" i="20"/>
  <c r="I34" i="20"/>
  <c r="K34" i="20" s="1"/>
  <c r="M34" i="20"/>
  <c r="Q34" i="20" s="1"/>
  <c r="S34" i="20" s="1"/>
  <c r="M33" i="20"/>
  <c r="Q33" i="20" s="1"/>
  <c r="S33" i="20" s="1"/>
  <c r="I33" i="20"/>
  <c r="K33" i="20" s="1"/>
  <c r="H33" i="20"/>
  <c r="F33" i="20"/>
  <c r="O33" i="20" s="1"/>
  <c r="P33" i="20" s="1"/>
  <c r="M32" i="20"/>
  <c r="Q32" i="20" s="1"/>
  <c r="I32" i="20"/>
  <c r="K32" i="20" s="1"/>
  <c r="H32" i="20"/>
  <c r="F32" i="20"/>
  <c r="O32" i="20" s="1"/>
  <c r="I60" i="20"/>
  <c r="K60" i="20" s="1"/>
  <c r="H60" i="20"/>
  <c r="G60" i="20"/>
  <c r="F60" i="20"/>
  <c r="M59" i="20"/>
  <c r="Q59" i="20" s="1"/>
  <c r="S59" i="20" s="1"/>
  <c r="J59" i="20"/>
  <c r="I59" i="20"/>
  <c r="K59" i="20" s="1"/>
  <c r="H59" i="20"/>
  <c r="G59" i="20"/>
  <c r="F59" i="20"/>
  <c r="F58" i="20"/>
  <c r="G58" i="20"/>
  <c r="H58" i="20"/>
  <c r="I58" i="20"/>
  <c r="K58" i="20" s="1"/>
  <c r="J58" i="20"/>
  <c r="M58" i="20"/>
  <c r="Q58" i="20" s="1"/>
  <c r="S58" i="20" s="1"/>
  <c r="H57" i="20"/>
  <c r="J57" i="20"/>
  <c r="M57" i="20"/>
  <c r="Q57" i="20" s="1"/>
  <c r="S57" i="20" s="1"/>
  <c r="I57" i="20"/>
  <c r="K57" i="20" s="1"/>
  <c r="G57" i="20"/>
  <c r="F57" i="20"/>
  <c r="M56" i="20"/>
  <c r="Q56" i="20" s="1"/>
  <c r="S56" i="20" s="1"/>
  <c r="J56" i="20"/>
  <c r="I56" i="20"/>
  <c r="K56" i="20" s="1"/>
  <c r="H56" i="20"/>
  <c r="G56" i="20"/>
  <c r="F56" i="20"/>
  <c r="H55" i="20"/>
  <c r="J55" i="20"/>
  <c r="M55" i="20"/>
  <c r="Q55" i="20" s="1"/>
  <c r="S55" i="20" s="1"/>
  <c r="I55" i="20"/>
  <c r="K55" i="20" s="1"/>
  <c r="G55" i="20"/>
  <c r="F55" i="20"/>
  <c r="G227" i="25"/>
  <c r="F227" i="25"/>
  <c r="C227" i="25"/>
  <c r="K226" i="25"/>
  <c r="J226" i="25"/>
  <c r="I226" i="25"/>
  <c r="H226" i="25"/>
  <c r="G226" i="25"/>
  <c r="F226" i="25"/>
  <c r="C226" i="25"/>
  <c r="K225" i="25"/>
  <c r="M49" i="20"/>
  <c r="Q49" i="20" s="1"/>
  <c r="S49" i="20" s="1"/>
  <c r="J49" i="20"/>
  <c r="I49" i="20"/>
  <c r="K49" i="20" s="1"/>
  <c r="H49" i="20"/>
  <c r="G49" i="20"/>
  <c r="F49" i="20"/>
  <c r="F48" i="20"/>
  <c r="G48" i="20"/>
  <c r="H48" i="20"/>
  <c r="I48" i="20"/>
  <c r="K48" i="20" s="1"/>
  <c r="J48" i="20"/>
  <c r="M48" i="20"/>
  <c r="Q48" i="20" s="1"/>
  <c r="S48" i="20" s="1"/>
  <c r="M47" i="20"/>
  <c r="Q47" i="20" s="1"/>
  <c r="S47" i="20" s="1"/>
  <c r="J47" i="20"/>
  <c r="I47" i="20"/>
  <c r="K47" i="20" s="1"/>
  <c r="H47" i="20"/>
  <c r="G47" i="20"/>
  <c r="F47" i="20"/>
  <c r="M46" i="20"/>
  <c r="Q46" i="20" s="1"/>
  <c r="S46" i="20" s="1"/>
  <c r="J46" i="20"/>
  <c r="I46" i="20"/>
  <c r="K46" i="20" s="1"/>
  <c r="H46" i="20"/>
  <c r="G46" i="20"/>
  <c r="F46" i="20"/>
  <c r="M45" i="20"/>
  <c r="Q45" i="20" s="1"/>
  <c r="S45" i="20" s="1"/>
  <c r="J45" i="20"/>
  <c r="I45" i="20"/>
  <c r="K45" i="20" s="1"/>
  <c r="H45" i="20"/>
  <c r="G45" i="20"/>
  <c r="F45" i="20"/>
  <c r="M44" i="20"/>
  <c r="Q44" i="20" s="1"/>
  <c r="S44" i="20" s="1"/>
  <c r="J44" i="20"/>
  <c r="I44" i="20"/>
  <c r="K44" i="20" s="1"/>
  <c r="H44" i="20"/>
  <c r="G44" i="20"/>
  <c r="F44" i="20"/>
  <c r="M43" i="20"/>
  <c r="Q43" i="20" s="1"/>
  <c r="S43" i="20" s="1"/>
  <c r="J43" i="20"/>
  <c r="I43" i="20"/>
  <c r="K43" i="20" s="1"/>
  <c r="H43" i="20"/>
  <c r="G43" i="20"/>
  <c r="F43" i="20"/>
  <c r="F42" i="20"/>
  <c r="G42" i="20"/>
  <c r="H42" i="20"/>
  <c r="I42" i="20"/>
  <c r="K42" i="20" s="1"/>
  <c r="J42" i="20"/>
  <c r="M42" i="20"/>
  <c r="Q42" i="20" s="1"/>
  <c r="S42" i="20" s="1"/>
  <c r="G41" i="20"/>
  <c r="M41" i="20"/>
  <c r="Q41" i="20" s="1"/>
  <c r="S41" i="20" s="1"/>
  <c r="J41" i="20"/>
  <c r="I41" i="20"/>
  <c r="K41" i="20" s="1"/>
  <c r="H41" i="20"/>
  <c r="F41" i="20"/>
  <c r="F40" i="20"/>
  <c r="G40" i="20"/>
  <c r="H40" i="20"/>
  <c r="I40" i="20"/>
  <c r="K40" i="20" s="1"/>
  <c r="J40" i="20"/>
  <c r="M40" i="20"/>
  <c r="Q40" i="20" s="1"/>
  <c r="S40" i="20" s="1"/>
  <c r="M39" i="20"/>
  <c r="Q39" i="20" s="1"/>
  <c r="S39" i="20" s="1"/>
  <c r="J39" i="20"/>
  <c r="I39" i="20"/>
  <c r="K39" i="20" s="1"/>
  <c r="H39" i="20"/>
  <c r="G39" i="20"/>
  <c r="F39" i="20"/>
  <c r="F38" i="20"/>
  <c r="G38" i="20"/>
  <c r="H38" i="20"/>
  <c r="J38" i="20"/>
  <c r="I37" i="20"/>
  <c r="K37" i="20" s="1"/>
  <c r="F37" i="20"/>
  <c r="H36" i="20"/>
  <c r="M36" i="20"/>
  <c r="Q36" i="20" s="1"/>
  <c r="S36" i="20" s="1"/>
  <c r="M35" i="20"/>
  <c r="Q35" i="20" s="1"/>
  <c r="S35" i="20" s="1"/>
  <c r="H35" i="20"/>
  <c r="G34" i="20"/>
  <c r="J34" i="20"/>
  <c r="J33" i="20"/>
  <c r="G33" i="20"/>
  <c r="J32" i="20"/>
  <c r="G32" i="20"/>
  <c r="J225" i="25"/>
  <c r="I225" i="25"/>
  <c r="H225" i="25"/>
  <c r="G225" i="25"/>
  <c r="F225" i="25"/>
  <c r="C225" i="25"/>
  <c r="K224" i="25"/>
  <c r="J224" i="25"/>
  <c r="I224" i="25"/>
  <c r="H224" i="25"/>
  <c r="G224" i="25"/>
  <c r="F224" i="25"/>
  <c r="C224" i="25"/>
  <c r="K223" i="25"/>
  <c r="J223" i="25"/>
  <c r="I223" i="25"/>
  <c r="H223" i="25"/>
  <c r="G223" i="25"/>
  <c r="F223" i="25"/>
  <c r="C223" i="25"/>
  <c r="K222" i="25"/>
  <c r="J222" i="25"/>
  <c r="K220" i="25"/>
  <c r="J330" i="20"/>
  <c r="I330" i="20"/>
  <c r="K330" i="20" s="1"/>
  <c r="H330" i="20"/>
  <c r="G330" i="20"/>
  <c r="F330" i="20"/>
  <c r="M329" i="20"/>
  <c r="Q329" i="20" s="1"/>
  <c r="S329" i="20" s="1"/>
  <c r="G328" i="20"/>
  <c r="H328" i="20"/>
  <c r="I328" i="20"/>
  <c r="K328" i="20" s="1"/>
  <c r="J328" i="20"/>
  <c r="M328" i="20"/>
  <c r="Q328" i="20" s="1"/>
  <c r="S328" i="20" s="1"/>
  <c r="F329" i="20"/>
  <c r="G329" i="20"/>
  <c r="H329" i="20"/>
  <c r="I329" i="20"/>
  <c r="K329" i="20" s="1"/>
  <c r="G75" i="20"/>
  <c r="I169" i="25"/>
  <c r="I94" i="20"/>
  <c r="G169" i="25"/>
  <c r="G94" i="20"/>
  <c r="C169" i="25"/>
  <c r="F94" i="20"/>
  <c r="N93" i="20"/>
  <c r="T93" i="20" s="1"/>
  <c r="V93" i="20" s="1"/>
  <c r="K93" i="20"/>
  <c r="O93" i="20" s="1"/>
  <c r="G168" i="25"/>
  <c r="G90" i="20"/>
  <c r="C168" i="25"/>
  <c r="F90" i="20"/>
  <c r="I168" i="25"/>
  <c r="I90" i="20"/>
  <c r="G167" i="25"/>
  <c r="G89" i="20"/>
  <c r="C167" i="25"/>
  <c r="F89" i="20"/>
  <c r="I167" i="25"/>
  <c r="I89" i="20"/>
  <c r="N87" i="20"/>
  <c r="T87" i="20" s="1"/>
  <c r="V87" i="20" s="1"/>
  <c r="K87" i="20"/>
  <c r="N81" i="20"/>
  <c r="T81" i="20" s="1"/>
  <c r="K81" i="20"/>
  <c r="O81" i="20" s="1"/>
  <c r="C166" i="25"/>
  <c r="F79" i="20"/>
  <c r="G166" i="25"/>
  <c r="G79" i="20"/>
  <c r="I166" i="25"/>
  <c r="I79" i="20"/>
  <c r="G165" i="25"/>
  <c r="G78" i="20"/>
  <c r="I165" i="25"/>
  <c r="I78" i="20"/>
  <c r="C165" i="25"/>
  <c r="F78" i="20"/>
  <c r="N105" i="20"/>
  <c r="T105" i="20" s="1"/>
  <c r="V105" i="20" s="1"/>
  <c r="K105" i="20"/>
  <c r="O105" i="20" s="1"/>
  <c r="I172" i="25"/>
  <c r="I97" i="20"/>
  <c r="G172" i="25"/>
  <c r="G97" i="20"/>
  <c r="C172" i="25"/>
  <c r="F97" i="20"/>
  <c r="G171" i="25"/>
  <c r="G96" i="20"/>
  <c r="C171" i="25"/>
  <c r="F96" i="20"/>
  <c r="I171" i="25"/>
  <c r="I96" i="20"/>
  <c r="N54" i="20"/>
  <c r="T54" i="20" s="1"/>
  <c r="V54" i="20" s="1"/>
  <c r="K54" i="20"/>
  <c r="O54" i="20" s="1"/>
  <c r="C149" i="25"/>
  <c r="F53" i="20"/>
  <c r="I149" i="25"/>
  <c r="I53" i="20"/>
  <c r="G149" i="25"/>
  <c r="G53" i="20"/>
  <c r="G148" i="25"/>
  <c r="G52" i="20"/>
  <c r="I148" i="25"/>
  <c r="I52" i="20"/>
  <c r="C148" i="25"/>
  <c r="F52" i="20"/>
  <c r="I147" i="25"/>
  <c r="I50" i="20"/>
  <c r="C147" i="25"/>
  <c r="F50" i="20"/>
  <c r="G147" i="25"/>
  <c r="G50" i="20"/>
  <c r="I146" i="25"/>
  <c r="I51" i="20"/>
  <c r="G146" i="25"/>
  <c r="G51" i="20"/>
  <c r="C146" i="25"/>
  <c r="F51" i="20"/>
  <c r="G128" i="25"/>
  <c r="G14" i="20"/>
  <c r="C128" i="25"/>
  <c r="F14" i="20"/>
  <c r="I128" i="25"/>
  <c r="I14" i="20"/>
  <c r="C127" i="25"/>
  <c r="F13" i="20"/>
  <c r="O13" i="20" s="1"/>
  <c r="G127" i="25"/>
  <c r="G13" i="20"/>
  <c r="I127" i="25"/>
  <c r="I13" i="20"/>
  <c r="I126" i="25"/>
  <c r="I12" i="20"/>
  <c r="G126" i="25"/>
  <c r="G12" i="20"/>
  <c r="C126" i="25"/>
  <c r="F12" i="20"/>
  <c r="N7" i="20"/>
  <c r="T7" i="20" s="1"/>
  <c r="V7" i="20" s="1"/>
  <c r="K7" i="20"/>
  <c r="N6" i="20"/>
  <c r="T6" i="20" s="1"/>
  <c r="V6" i="20" s="1"/>
  <c r="K6" i="20"/>
  <c r="N5" i="20"/>
  <c r="T5" i="20" s="1"/>
  <c r="V5" i="20" s="1"/>
  <c r="K5" i="20"/>
  <c r="N4" i="20"/>
  <c r="T4" i="20" s="1"/>
  <c r="V4" i="20" s="1"/>
  <c r="K4" i="20"/>
  <c r="N3" i="20"/>
  <c r="K3" i="20"/>
  <c r="L92" i="20"/>
  <c r="N227" i="20" l="1"/>
  <c r="T227" i="20" s="1"/>
  <c r="V227" i="20" s="1"/>
  <c r="N233" i="20"/>
  <c r="T233" i="20" s="1"/>
  <c r="V233" i="20" s="1"/>
  <c r="N20" i="20"/>
  <c r="T20" i="20" s="1"/>
  <c r="V20" i="20" s="1"/>
  <c r="N22" i="20"/>
  <c r="T22" i="20" s="1"/>
  <c r="V22" i="20" s="1"/>
  <c r="N113" i="20"/>
  <c r="T113" i="20" s="1"/>
  <c r="P4" i="20"/>
  <c r="P10" i="20"/>
  <c r="P20" i="20"/>
  <c r="P168" i="20"/>
  <c r="N124" i="20"/>
  <c r="T124" i="20" s="1"/>
  <c r="V124" i="20" s="1"/>
  <c r="L208" i="20"/>
  <c r="N155" i="20"/>
  <c r="T155" i="20" s="1"/>
  <c r="N208" i="20"/>
  <c r="T208" i="20" s="1"/>
  <c r="V208" i="20" s="1"/>
  <c r="L213" i="20"/>
  <c r="P102" i="20"/>
  <c r="N210" i="20"/>
  <c r="T210" i="20" s="1"/>
  <c r="V210" i="20" s="1"/>
  <c r="N72" i="20"/>
  <c r="T72" i="20" s="1"/>
  <c r="V72" i="20" s="1"/>
  <c r="P9" i="20"/>
  <c r="P19" i="20"/>
  <c r="P26" i="20"/>
  <c r="P109" i="20"/>
  <c r="P167" i="20"/>
  <c r="N220" i="20"/>
  <c r="T220" i="20" s="1"/>
  <c r="V220" i="20" s="1"/>
  <c r="P5" i="20"/>
  <c r="P11" i="20"/>
  <c r="P111" i="20"/>
  <c r="P169" i="20"/>
  <c r="N120" i="20"/>
  <c r="T120" i="20" s="1"/>
  <c r="V120" i="20" s="1"/>
  <c r="N40" i="20"/>
  <c r="T40" i="20" s="1"/>
  <c r="N48" i="20"/>
  <c r="T48" i="20" s="1"/>
  <c r="V48" i="20" s="1"/>
  <c r="P7" i="20"/>
  <c r="P23" i="20"/>
  <c r="P107" i="20"/>
  <c r="P163" i="20"/>
  <c r="P174" i="20"/>
  <c r="P98" i="20"/>
  <c r="P104" i="20"/>
  <c r="O61" i="20"/>
  <c r="O69" i="20"/>
  <c r="N180" i="20"/>
  <c r="T180" i="20" s="1"/>
  <c r="V180" i="20" s="1"/>
  <c r="N182" i="20"/>
  <c r="T182" i="20" s="1"/>
  <c r="N184" i="20"/>
  <c r="T184" i="20" s="1"/>
  <c r="V184" i="20" s="1"/>
  <c r="N188" i="20"/>
  <c r="T188" i="20" s="1"/>
  <c r="N192" i="20"/>
  <c r="T192" i="20" s="1"/>
  <c r="V192" i="20" s="1"/>
  <c r="N221" i="20"/>
  <c r="T221" i="20" s="1"/>
  <c r="V221" i="20" s="1"/>
  <c r="O67" i="20"/>
  <c r="O71" i="20"/>
  <c r="N75" i="20"/>
  <c r="T75" i="20" s="1"/>
  <c r="V75" i="20" s="1"/>
  <c r="N325" i="20"/>
  <c r="T325" i="20" s="1"/>
  <c r="V325" i="20" s="1"/>
  <c r="L216" i="20"/>
  <c r="L40" i="20"/>
  <c r="L42" i="20"/>
  <c r="L48" i="20"/>
  <c r="O73" i="20"/>
  <c r="N317" i="20"/>
  <c r="T317" i="20" s="1"/>
  <c r="N328" i="20"/>
  <c r="T328" i="20" s="1"/>
  <c r="L218" i="20"/>
  <c r="L319" i="20"/>
  <c r="P8" i="20"/>
  <c r="P18" i="20"/>
  <c r="P24" i="20"/>
  <c r="N215" i="20"/>
  <c r="T215" i="20" s="1"/>
  <c r="V215" i="20" s="1"/>
  <c r="L325" i="20"/>
  <c r="P17" i="20"/>
  <c r="P101" i="20"/>
  <c r="O114" i="20"/>
  <c r="O45" i="20"/>
  <c r="O49" i="20"/>
  <c r="O142" i="20"/>
  <c r="N126" i="20"/>
  <c r="T126" i="20" s="1"/>
  <c r="V126" i="20" s="1"/>
  <c r="O39" i="20"/>
  <c r="O41" i="20"/>
  <c r="O43" i="20"/>
  <c r="O47" i="20"/>
  <c r="O62" i="20"/>
  <c r="N66" i="20"/>
  <c r="T66" i="20" s="1"/>
  <c r="O68" i="20"/>
  <c r="O70" i="20"/>
  <c r="L74" i="20"/>
  <c r="L76" i="20"/>
  <c r="N181" i="20"/>
  <c r="T181" i="20" s="1"/>
  <c r="O183" i="20"/>
  <c r="N185" i="20"/>
  <c r="T185" i="20" s="1"/>
  <c r="V185" i="20" s="1"/>
  <c r="N187" i="20"/>
  <c r="T187" i="20" s="1"/>
  <c r="N195" i="20"/>
  <c r="T195" i="20" s="1"/>
  <c r="V195" i="20" s="1"/>
  <c r="N213" i="20"/>
  <c r="T213" i="20" s="1"/>
  <c r="V213" i="20" s="1"/>
  <c r="L215" i="20"/>
  <c r="N324" i="20"/>
  <c r="T324" i="20" s="1"/>
  <c r="V324" i="20" s="1"/>
  <c r="L316" i="20"/>
  <c r="P3" i="20"/>
  <c r="P103" i="20"/>
  <c r="N159" i="20"/>
  <c r="T159" i="20" s="1"/>
  <c r="V159" i="20" s="1"/>
  <c r="N198" i="20"/>
  <c r="T198" i="20" s="1"/>
  <c r="V198" i="20" s="1"/>
  <c r="N177" i="20"/>
  <c r="T177" i="20" s="1"/>
  <c r="V177" i="20" s="1"/>
  <c r="N196" i="20"/>
  <c r="T196" i="20" s="1"/>
  <c r="V196" i="20" s="1"/>
  <c r="L221" i="20"/>
  <c r="O44" i="20"/>
  <c r="O46" i="20"/>
  <c r="N217" i="20"/>
  <c r="T217" i="20" s="1"/>
  <c r="L219" i="20"/>
  <c r="P6" i="20"/>
  <c r="P22" i="20"/>
  <c r="P106" i="20"/>
  <c r="L120" i="20"/>
  <c r="N199" i="20"/>
  <c r="T199" i="20" s="1"/>
  <c r="V199" i="20" s="1"/>
  <c r="P16" i="20"/>
  <c r="P100" i="20"/>
  <c r="L113" i="20"/>
  <c r="N178" i="20"/>
  <c r="T178" i="20" s="1"/>
  <c r="V178" i="20" s="1"/>
  <c r="L177" i="20"/>
  <c r="L323" i="20"/>
  <c r="N139" i="20"/>
  <c r="T139" i="20" s="1"/>
  <c r="V139" i="20" s="1"/>
  <c r="K24" i="20"/>
  <c r="N24" i="20"/>
  <c r="T24" i="20" s="1"/>
  <c r="V24" i="20" s="1"/>
  <c r="N131" i="20"/>
  <c r="T131" i="20" s="1"/>
  <c r="V131" i="20" s="1"/>
  <c r="N318" i="20"/>
  <c r="T318" i="20" s="1"/>
  <c r="V318" i="20" s="1"/>
  <c r="L322" i="20"/>
  <c r="L229" i="20"/>
  <c r="P229" i="20" s="1"/>
  <c r="L73" i="20"/>
  <c r="O65" i="20"/>
  <c r="L58" i="20"/>
  <c r="K21" i="20"/>
  <c r="N21" i="20"/>
  <c r="T21" i="20" s="1"/>
  <c r="V21" i="20" s="1"/>
  <c r="L217" i="20"/>
  <c r="N323" i="20"/>
  <c r="T323" i="20" s="1"/>
  <c r="V323" i="20" s="1"/>
  <c r="N148" i="20"/>
  <c r="T148" i="20" s="1"/>
  <c r="V148" i="20" s="1"/>
  <c r="N146" i="20"/>
  <c r="T146" i="20" s="1"/>
  <c r="V146" i="20" s="1"/>
  <c r="N206" i="20"/>
  <c r="T206" i="20" s="1"/>
  <c r="V206" i="20" s="1"/>
  <c r="N204" i="20"/>
  <c r="T204" i="20" s="1"/>
  <c r="V204" i="20" s="1"/>
  <c r="L126" i="20"/>
  <c r="L124" i="20"/>
  <c r="L117" i="20"/>
  <c r="N115" i="20"/>
  <c r="T115" i="20" s="1"/>
  <c r="N321" i="20"/>
  <c r="T321" i="20" s="1"/>
  <c r="N138" i="20"/>
  <c r="T138" i="20" s="1"/>
  <c r="V138" i="20" s="1"/>
  <c r="N158" i="20"/>
  <c r="T158" i="20" s="1"/>
  <c r="V158" i="20" s="1"/>
  <c r="N122" i="20"/>
  <c r="T122" i="20" s="1"/>
  <c r="V122" i="20" s="1"/>
  <c r="L112" i="20"/>
  <c r="N77" i="20"/>
  <c r="T77" i="20" s="1"/>
  <c r="V77" i="20" s="1"/>
  <c r="O63" i="20"/>
  <c r="N202" i="20"/>
  <c r="T202" i="20" s="1"/>
  <c r="V202" i="20" s="1"/>
  <c r="N205" i="20"/>
  <c r="T205" i="20" s="1"/>
  <c r="V205" i="20" s="1"/>
  <c r="K15" i="20"/>
  <c r="O15" i="20" s="1"/>
  <c r="N15" i="20"/>
  <c r="T15" i="20" s="1"/>
  <c r="V15" i="20" s="1"/>
  <c r="L122" i="20"/>
  <c r="N121" i="20"/>
  <c r="T121" i="20" s="1"/>
  <c r="V121" i="20" s="1"/>
  <c r="L119" i="20"/>
  <c r="N119" i="20"/>
  <c r="T119" i="20" s="1"/>
  <c r="N118" i="20"/>
  <c r="T118" i="20" s="1"/>
  <c r="N116" i="20"/>
  <c r="T116" i="20" s="1"/>
  <c r="L324" i="20"/>
  <c r="N236" i="20"/>
  <c r="T236" i="20" s="1"/>
  <c r="V236" i="20" s="1"/>
  <c r="N130" i="20"/>
  <c r="T130" i="20" s="1"/>
  <c r="V130" i="20" s="1"/>
  <c r="L130" i="20"/>
  <c r="N129" i="20"/>
  <c r="T129" i="20" s="1"/>
  <c r="V129" i="20" s="1"/>
  <c r="N128" i="20"/>
  <c r="T128" i="20" s="1"/>
  <c r="V128" i="20" s="1"/>
  <c r="N127" i="20"/>
  <c r="T127" i="20" s="1"/>
  <c r="V127" i="20" s="1"/>
  <c r="N125" i="20"/>
  <c r="T125" i="20" s="1"/>
  <c r="V125" i="20" s="1"/>
  <c r="N123" i="20"/>
  <c r="T123" i="20" s="1"/>
  <c r="V123" i="20" s="1"/>
  <c r="N117" i="20"/>
  <c r="T117" i="20" s="1"/>
  <c r="N322" i="20"/>
  <c r="T322" i="20" s="1"/>
  <c r="V322" i="20" s="1"/>
  <c r="N235" i="20"/>
  <c r="T235" i="20" s="1"/>
  <c r="V235" i="20" s="1"/>
  <c r="N234" i="20"/>
  <c r="T234" i="20" s="1"/>
  <c r="V234" i="20" s="1"/>
  <c r="N232" i="20"/>
  <c r="T232" i="20" s="1"/>
  <c r="V232" i="20" s="1"/>
  <c r="L77" i="20"/>
  <c r="L66" i="20"/>
  <c r="L38" i="20"/>
  <c r="O122" i="20"/>
  <c r="O120" i="20"/>
  <c r="O119" i="20"/>
  <c r="O115" i="20"/>
  <c r="O118" i="20"/>
  <c r="O116" i="20"/>
  <c r="L128" i="20"/>
  <c r="L196" i="20"/>
  <c r="N161" i="20"/>
  <c r="T161" i="20" s="1"/>
  <c r="V161" i="20" s="1"/>
  <c r="N160" i="20"/>
  <c r="T160" i="20" s="1"/>
  <c r="V160" i="20" s="1"/>
  <c r="L157" i="20"/>
  <c r="L155" i="20"/>
  <c r="P13" i="20"/>
  <c r="N226" i="20"/>
  <c r="T226" i="20" s="1"/>
  <c r="V226" i="20" s="1"/>
  <c r="O59" i="20"/>
  <c r="P81" i="20"/>
  <c r="L315" i="20"/>
  <c r="O178" i="20"/>
  <c r="O177" i="20"/>
  <c r="O158" i="20"/>
  <c r="O157" i="20"/>
  <c r="O155" i="20"/>
  <c r="O154" i="20"/>
  <c r="O153" i="20"/>
  <c r="O152" i="20"/>
  <c r="O130" i="20"/>
  <c r="O128" i="20"/>
  <c r="O126" i="20"/>
  <c r="O124" i="20"/>
  <c r="O117" i="20"/>
  <c r="N314" i="20"/>
  <c r="T314" i="20" s="1"/>
  <c r="V314" i="20" s="1"/>
  <c r="L314" i="20"/>
  <c r="N313" i="20"/>
  <c r="T313" i="20" s="1"/>
  <c r="L313" i="20"/>
  <c r="N312" i="20"/>
  <c r="T312" i="20" s="1"/>
  <c r="L312" i="20"/>
  <c r="N311" i="20"/>
  <c r="T311" i="20" s="1"/>
  <c r="L311" i="20"/>
  <c r="N310" i="20"/>
  <c r="T310" i="20" s="1"/>
  <c r="L310" i="20"/>
  <c r="N309" i="20"/>
  <c r="T309" i="20" s="1"/>
  <c r="V309" i="20" s="1"/>
  <c r="L309" i="20"/>
  <c r="N308" i="20"/>
  <c r="T308" i="20" s="1"/>
  <c r="V308" i="20" s="1"/>
  <c r="N307" i="20"/>
  <c r="T307" i="20" s="1"/>
  <c r="L307" i="20"/>
  <c r="N306" i="20"/>
  <c r="T306" i="20" s="1"/>
  <c r="L306" i="20"/>
  <c r="N305" i="20"/>
  <c r="T305" i="20" s="1"/>
  <c r="L305" i="20"/>
  <c r="N304" i="20"/>
  <c r="T304" i="20" s="1"/>
  <c r="V304" i="20" s="1"/>
  <c r="N303" i="20"/>
  <c r="T303" i="20" s="1"/>
  <c r="V303" i="20" s="1"/>
  <c r="L210" i="20"/>
  <c r="L209" i="20"/>
  <c r="L207" i="20"/>
  <c r="L214" i="20"/>
  <c r="N214" i="20"/>
  <c r="T214" i="20" s="1"/>
  <c r="V214" i="20" s="1"/>
  <c r="L212" i="20"/>
  <c r="N203" i="20"/>
  <c r="T203" i="20" s="1"/>
  <c r="V203" i="20" s="1"/>
  <c r="L202" i="20"/>
  <c r="N201" i="20"/>
  <c r="T201" i="20" s="1"/>
  <c r="V201" i="20" s="1"/>
  <c r="N200" i="20"/>
  <c r="T200" i="20" s="1"/>
  <c r="V200" i="20" s="1"/>
  <c r="L198" i="20"/>
  <c r="L197" i="20"/>
  <c r="N197" i="20"/>
  <c r="T197" i="20" s="1"/>
  <c r="V197" i="20" s="1"/>
  <c r="L178" i="20"/>
  <c r="L158" i="20"/>
  <c r="N157" i="20"/>
  <c r="T157" i="20" s="1"/>
  <c r="V157" i="20" s="1"/>
  <c r="L156" i="20"/>
  <c r="L154" i="20"/>
  <c r="N154" i="20"/>
  <c r="T154" i="20" s="1"/>
  <c r="N153" i="20"/>
  <c r="T153" i="20" s="1"/>
  <c r="L153" i="20"/>
  <c r="N152" i="20"/>
  <c r="T152" i="20" s="1"/>
  <c r="L152" i="20"/>
  <c r="N151" i="20"/>
  <c r="T151" i="20" s="1"/>
  <c r="N150" i="20"/>
  <c r="T150" i="20" s="1"/>
  <c r="V150" i="20" s="1"/>
  <c r="L118" i="20"/>
  <c r="L116" i="20"/>
  <c r="L115" i="20"/>
  <c r="N114" i="20"/>
  <c r="T114" i="20" s="1"/>
  <c r="L114" i="20"/>
  <c r="P166" i="20"/>
  <c r="P162" i="20"/>
  <c r="P110" i="20"/>
  <c r="P108" i="20"/>
  <c r="P99" i="20"/>
  <c r="P21" i="20"/>
  <c r="O113" i="20"/>
  <c r="O112" i="20"/>
  <c r="N112" i="20"/>
  <c r="T112" i="20" s="1"/>
  <c r="N64" i="20"/>
  <c r="T64" i="20" s="1"/>
  <c r="N228" i="20"/>
  <c r="T228" i="20" s="1"/>
  <c r="V228" i="20" s="1"/>
  <c r="P93" i="20"/>
  <c r="P105" i="20"/>
  <c r="P54" i="20"/>
  <c r="L211" i="20"/>
  <c r="N212" i="20"/>
  <c r="T212" i="20" s="1"/>
  <c r="V212" i="20" s="1"/>
  <c r="L206" i="20"/>
  <c r="L205" i="20"/>
  <c r="L204" i="20"/>
  <c r="L203" i="20"/>
  <c r="L201" i="20"/>
  <c r="L200" i="20"/>
  <c r="L199" i="20"/>
  <c r="N231" i="20"/>
  <c r="T231" i="20" s="1"/>
  <c r="V231" i="20" s="1"/>
  <c r="N209" i="20"/>
  <c r="T209" i="20" s="1"/>
  <c r="V209" i="20" s="1"/>
  <c r="N207" i="20"/>
  <c r="T207" i="20" s="1"/>
  <c r="V207" i="20" s="1"/>
  <c r="N42" i="20"/>
  <c r="T42" i="20" s="1"/>
  <c r="V42" i="20" s="1"/>
  <c r="N211" i="20"/>
  <c r="T211" i="20" s="1"/>
  <c r="V211" i="20" s="1"/>
  <c r="L161" i="20"/>
  <c r="O161" i="20"/>
  <c r="L159" i="20"/>
  <c r="O159" i="20"/>
  <c r="L151" i="20"/>
  <c r="O151" i="20"/>
  <c r="L121" i="20"/>
  <c r="O121" i="20"/>
  <c r="L131" i="20"/>
  <c r="O131" i="20"/>
  <c r="L129" i="20"/>
  <c r="O129" i="20"/>
  <c r="O127" i="20"/>
  <c r="L127" i="20"/>
  <c r="L125" i="20"/>
  <c r="O125" i="20"/>
  <c r="O123" i="20"/>
  <c r="L123" i="20"/>
  <c r="K156" i="20"/>
  <c r="O156" i="20" s="1"/>
  <c r="N156" i="20"/>
  <c r="T156" i="20" s="1"/>
  <c r="V156" i="20" s="1"/>
  <c r="O276" i="20"/>
  <c r="P276" i="20" s="1"/>
  <c r="O250" i="20"/>
  <c r="O252" i="20"/>
  <c r="O253" i="20"/>
  <c r="P253" i="20" s="1"/>
  <c r="O254" i="20"/>
  <c r="O255" i="20"/>
  <c r="P255" i="20" s="1"/>
  <c r="O256" i="20"/>
  <c r="P256" i="20" s="1"/>
  <c r="O257" i="20"/>
  <c r="P257" i="20" s="1"/>
  <c r="O258" i="20"/>
  <c r="P258" i="20" s="1"/>
  <c r="O259" i="20"/>
  <c r="P259" i="20" s="1"/>
  <c r="O260" i="20"/>
  <c r="P260" i="20" s="1"/>
  <c r="O261" i="20"/>
  <c r="P261" i="20" s="1"/>
  <c r="O262" i="20"/>
  <c r="O263" i="20"/>
  <c r="P263" i="20" s="1"/>
  <c r="O264" i="20"/>
  <c r="P264" i="20" s="1"/>
  <c r="O265" i="20"/>
  <c r="P265" i="20" s="1"/>
  <c r="O266" i="20"/>
  <c r="P266" i="20" s="1"/>
  <c r="O267" i="20"/>
  <c r="P267" i="20" s="1"/>
  <c r="O268" i="20"/>
  <c r="P268" i="20" s="1"/>
  <c r="O269" i="20"/>
  <c r="P269" i="20" s="1"/>
  <c r="O270" i="20"/>
  <c r="P270" i="20" s="1"/>
  <c r="O271" i="20"/>
  <c r="P271" i="20" s="1"/>
  <c r="O272" i="20"/>
  <c r="P272" i="20" s="1"/>
  <c r="O273" i="20"/>
  <c r="P273" i="20" s="1"/>
  <c r="O274" i="20"/>
  <c r="P274" i="20" s="1"/>
  <c r="O275" i="20"/>
  <c r="O247" i="20"/>
  <c r="O246" i="20"/>
  <c r="P246" i="20" s="1"/>
  <c r="O245" i="20"/>
  <c r="P245" i="20" s="1"/>
  <c r="O277" i="20"/>
  <c r="P277" i="20" s="1"/>
  <c r="O278" i="20"/>
  <c r="P278" i="20" s="1"/>
  <c r="O279" i="20"/>
  <c r="P279" i="20" s="1"/>
  <c r="O280" i="20"/>
  <c r="O281" i="20"/>
  <c r="P281" i="20" s="1"/>
  <c r="O282" i="20"/>
  <c r="P282" i="20" s="1"/>
  <c r="O283" i="20"/>
  <c r="P283" i="20" s="1"/>
  <c r="O284" i="20"/>
  <c r="P284" i="20" s="1"/>
  <c r="O285" i="20"/>
  <c r="P285" i="20" s="1"/>
  <c r="O286" i="20"/>
  <c r="P286" i="20" s="1"/>
  <c r="O287" i="20"/>
  <c r="P287" i="20" s="1"/>
  <c r="O288" i="20"/>
  <c r="P288" i="20" s="1"/>
  <c r="O289" i="20"/>
  <c r="P289" i="20" s="1"/>
  <c r="O290" i="20"/>
  <c r="P290" i="20" s="1"/>
  <c r="O291" i="20"/>
  <c r="P291" i="20" s="1"/>
  <c r="O292" i="20"/>
  <c r="P292" i="20" s="1"/>
  <c r="O293" i="20"/>
  <c r="P293" i="20" s="1"/>
  <c r="O294" i="20"/>
  <c r="P294" i="20" s="1"/>
  <c r="O295" i="20"/>
  <c r="O296" i="20"/>
  <c r="P296" i="20" s="1"/>
  <c r="O297" i="20"/>
  <c r="P297" i="20" s="1"/>
  <c r="O298" i="20"/>
  <c r="P298" i="20" s="1"/>
  <c r="O299" i="20"/>
  <c r="P299" i="20" s="1"/>
  <c r="O300" i="20"/>
  <c r="P300" i="20" s="1"/>
  <c r="O301" i="20"/>
  <c r="P301" i="20" s="1"/>
  <c r="O302" i="20"/>
  <c r="P302" i="20" s="1"/>
  <c r="O249" i="20"/>
  <c r="P249" i="20" s="1"/>
  <c r="O251" i="20"/>
  <c r="P251" i="20" s="1"/>
  <c r="O248" i="20"/>
  <c r="P248" i="20" s="1"/>
  <c r="O318" i="20"/>
  <c r="P318" i="20" s="1"/>
  <c r="L326" i="20"/>
  <c r="O195" i="20"/>
  <c r="O194" i="20"/>
  <c r="O193" i="20"/>
  <c r="O192" i="20"/>
  <c r="O191" i="20"/>
  <c r="L190" i="20"/>
  <c r="N140" i="20"/>
  <c r="T140" i="20" s="1"/>
  <c r="O332" i="20"/>
  <c r="O331" i="20"/>
  <c r="O227" i="20"/>
  <c r="P227" i="20" s="1"/>
  <c r="O226" i="20"/>
  <c r="O225" i="20"/>
  <c r="P225" i="20" s="1"/>
  <c r="O189" i="20"/>
  <c r="O188" i="20"/>
  <c r="O187" i="20"/>
  <c r="O132" i="20"/>
  <c r="O330" i="20"/>
  <c r="L176" i="20"/>
  <c r="O176" i="20"/>
  <c r="L175" i="20"/>
  <c r="O175" i="20"/>
  <c r="L173" i="20"/>
  <c r="O173" i="20"/>
  <c r="L172" i="20"/>
  <c r="O172" i="20"/>
  <c r="L171" i="20"/>
  <c r="O171" i="20"/>
  <c r="L165" i="20"/>
  <c r="O165" i="20"/>
  <c r="O164" i="20"/>
  <c r="L164" i="20"/>
  <c r="O31" i="20"/>
  <c r="L31" i="20"/>
  <c r="O30" i="20"/>
  <c r="L30" i="20"/>
  <c r="O29" i="20"/>
  <c r="L29" i="20"/>
  <c r="O28" i="20"/>
  <c r="L28" i="20"/>
  <c r="O27" i="20"/>
  <c r="L27" i="20"/>
  <c r="L25" i="20"/>
  <c r="O25" i="20"/>
  <c r="O238" i="20"/>
  <c r="P238" i="20" s="1"/>
  <c r="O239" i="20"/>
  <c r="P239" i="20" s="1"/>
  <c r="O240" i="20"/>
  <c r="P240" i="20" s="1"/>
  <c r="O241" i="20"/>
  <c r="P241" i="20" s="1"/>
  <c r="O242" i="20"/>
  <c r="P242" i="20" s="1"/>
  <c r="O243" i="20"/>
  <c r="O244" i="20"/>
  <c r="P244" i="20" s="1"/>
  <c r="P170" i="20"/>
  <c r="P84" i="20"/>
  <c r="P86" i="20"/>
  <c r="P95" i="20"/>
  <c r="N191" i="20"/>
  <c r="T191" i="20" s="1"/>
  <c r="V191" i="20" s="1"/>
  <c r="O134" i="20"/>
  <c r="N36" i="20"/>
  <c r="T36" i="20" s="1"/>
  <c r="V36" i="20" s="1"/>
  <c r="L327" i="20"/>
  <c r="N141" i="20"/>
  <c r="T141" i="20" s="1"/>
  <c r="V141" i="20" s="1"/>
  <c r="L59" i="20"/>
  <c r="O57" i="20"/>
  <c r="O56" i="20"/>
  <c r="N326" i="20"/>
  <c r="T326" i="20" s="1"/>
  <c r="V326" i="20" s="1"/>
  <c r="O133" i="20"/>
  <c r="L64" i="20"/>
  <c r="L220" i="20"/>
  <c r="O320" i="20"/>
  <c r="L321" i="20"/>
  <c r="O190" i="20"/>
  <c r="N190" i="20"/>
  <c r="T190" i="20" s="1"/>
  <c r="L186" i="20"/>
  <c r="O186" i="20"/>
  <c r="O328" i="20"/>
  <c r="O37" i="20"/>
  <c r="L330" i="20"/>
  <c r="N229" i="20"/>
  <c r="T229" i="20" s="1"/>
  <c r="V229" i="20" s="1"/>
  <c r="N194" i="20"/>
  <c r="T194" i="20" s="1"/>
  <c r="V194" i="20" s="1"/>
  <c r="N193" i="20"/>
  <c r="T193" i="20" s="1"/>
  <c r="V193" i="20" s="1"/>
  <c r="O60" i="20"/>
  <c r="L56" i="20"/>
  <c r="O223" i="20"/>
  <c r="O224" i="20"/>
  <c r="P224" i="20" s="1"/>
  <c r="O216" i="20"/>
  <c r="O217" i="20"/>
  <c r="O218" i="20"/>
  <c r="O219" i="20"/>
  <c r="O220" i="20"/>
  <c r="O221" i="20"/>
  <c r="O222" i="20"/>
  <c r="O214" i="20"/>
  <c r="O215" i="20"/>
  <c r="O196" i="20"/>
  <c r="O197" i="20"/>
  <c r="O198" i="20"/>
  <c r="O199" i="20"/>
  <c r="O200" i="20"/>
  <c r="O201" i="20"/>
  <c r="O202" i="20"/>
  <c r="O203" i="20"/>
  <c r="O204" i="20"/>
  <c r="O205" i="20"/>
  <c r="O206" i="20"/>
  <c r="O207" i="20"/>
  <c r="O208" i="20"/>
  <c r="O209" i="20"/>
  <c r="O210" i="20"/>
  <c r="O211" i="20"/>
  <c r="O212" i="20"/>
  <c r="O213" i="20"/>
  <c r="O314" i="20"/>
  <c r="O303" i="20"/>
  <c r="P303" i="20" s="1"/>
  <c r="O304" i="20"/>
  <c r="P304" i="20" s="1"/>
  <c r="O305" i="20"/>
  <c r="O306" i="20"/>
  <c r="O307" i="20"/>
  <c r="O308" i="20"/>
  <c r="P308" i="20" s="1"/>
  <c r="O309" i="20"/>
  <c r="O310" i="20"/>
  <c r="O311" i="20"/>
  <c r="O312" i="20"/>
  <c r="O313" i="20"/>
  <c r="L15" i="20"/>
  <c r="O322" i="20"/>
  <c r="O324" i="20"/>
  <c r="L226" i="20"/>
  <c r="O325" i="20"/>
  <c r="O327" i="20"/>
  <c r="L193" i="20"/>
  <c r="L192" i="20"/>
  <c r="L189" i="20"/>
  <c r="L317" i="20"/>
  <c r="O316" i="20"/>
  <c r="O317" i="20"/>
  <c r="L222" i="20"/>
  <c r="O319" i="20"/>
  <c r="N224" i="20"/>
  <c r="T224" i="20" s="1"/>
  <c r="V224" i="20" s="1"/>
  <c r="L320" i="20"/>
  <c r="O323" i="20"/>
  <c r="L228" i="20"/>
  <c r="P228" i="20" s="1"/>
  <c r="O326" i="20"/>
  <c r="N327" i="20"/>
  <c r="T327" i="20" s="1"/>
  <c r="V327" i="20" s="1"/>
  <c r="L195" i="20"/>
  <c r="L194" i="20"/>
  <c r="L188" i="20"/>
  <c r="L187" i="20"/>
  <c r="O141" i="20"/>
  <c r="N137" i="20"/>
  <c r="T137" i="20" s="1"/>
  <c r="V137" i="20" s="1"/>
  <c r="N136" i="20"/>
  <c r="T136" i="20" s="1"/>
  <c r="V136" i="20" s="1"/>
  <c r="L132" i="20"/>
  <c r="L333" i="20"/>
  <c r="L332" i="20"/>
  <c r="L331" i="20"/>
  <c r="L237" i="20"/>
  <c r="P237" i="20" s="1"/>
  <c r="L234" i="20"/>
  <c r="P234" i="20" s="1"/>
  <c r="L233" i="20"/>
  <c r="P233" i="20" s="1"/>
  <c r="L232" i="20"/>
  <c r="P232" i="20" s="1"/>
  <c r="L230" i="20"/>
  <c r="P230" i="20" s="1"/>
  <c r="N186" i="20"/>
  <c r="T186" i="20" s="1"/>
  <c r="V186" i="20" s="1"/>
  <c r="L185" i="20"/>
  <c r="O185" i="20"/>
  <c r="L184" i="20"/>
  <c r="O184" i="20"/>
  <c r="L183" i="20"/>
  <c r="O182" i="20"/>
  <c r="L181" i="20"/>
  <c r="O181" i="20"/>
  <c r="L180" i="20"/>
  <c r="O180" i="20"/>
  <c r="L179" i="20"/>
  <c r="N145" i="20"/>
  <c r="T145" i="20" s="1"/>
  <c r="V145" i="20" s="1"/>
  <c r="N143" i="20"/>
  <c r="T143" i="20" s="1"/>
  <c r="V143" i="20" s="1"/>
  <c r="O333" i="20"/>
  <c r="O77" i="20"/>
  <c r="O75" i="20"/>
  <c r="O321" i="20"/>
  <c r="L75" i="20"/>
  <c r="O74" i="20"/>
  <c r="O72" i="20"/>
  <c r="N70" i="20"/>
  <c r="T70" i="20" s="1"/>
  <c r="L70" i="20"/>
  <c r="L69" i="20"/>
  <c r="L68" i="20"/>
  <c r="L67" i="20"/>
  <c r="O66" i="20"/>
  <c r="N65" i="20"/>
  <c r="T65" i="20" s="1"/>
  <c r="O64" i="20"/>
  <c r="N63" i="20"/>
  <c r="T63" i="20" s="1"/>
  <c r="V63" i="20" s="1"/>
  <c r="L62" i="20"/>
  <c r="L61" i="20"/>
  <c r="N37" i="20"/>
  <c r="T37" i="20" s="1"/>
  <c r="L37" i="20"/>
  <c r="L60" i="20"/>
  <c r="L328" i="20"/>
  <c r="O329" i="20"/>
  <c r="L329" i="20"/>
  <c r="O55" i="20"/>
  <c r="O48" i="20"/>
  <c r="L46" i="20"/>
  <c r="L44" i="20"/>
  <c r="O42" i="20"/>
  <c r="P42" i="20" s="1"/>
  <c r="O40" i="20"/>
  <c r="P40" i="20" s="1"/>
  <c r="O38" i="20"/>
  <c r="E286" i="22"/>
  <c r="E248" i="25" s="1"/>
  <c r="D286" i="22"/>
  <c r="D248" i="25" s="1"/>
  <c r="E290" i="22"/>
  <c r="E252" i="25" s="1"/>
  <c r="D290" i="22"/>
  <c r="D252" i="25" s="1"/>
  <c r="E295" i="22"/>
  <c r="E257" i="25" s="1"/>
  <c r="D295" i="22"/>
  <c r="D257" i="25" s="1"/>
  <c r="E287" i="22"/>
  <c r="E249" i="25" s="1"/>
  <c r="D287" i="22"/>
  <c r="D249" i="25" s="1"/>
  <c r="D292" i="22"/>
  <c r="D254" i="25" s="1"/>
  <c r="E292" i="22"/>
  <c r="E254" i="25" s="1"/>
  <c r="D289" i="22"/>
  <c r="D251" i="25" s="1"/>
  <c r="E289" i="22"/>
  <c r="E251" i="25" s="1"/>
  <c r="E291" i="22"/>
  <c r="E253" i="25" s="1"/>
  <c r="D291" i="22"/>
  <c r="D253" i="25" s="1"/>
  <c r="E294" i="22"/>
  <c r="E256" i="25" s="1"/>
  <c r="D294" i="22"/>
  <c r="D256" i="25" s="1"/>
  <c r="D297" i="22"/>
  <c r="D259" i="25" s="1"/>
  <c r="E297" i="22"/>
  <c r="E259" i="25" s="1"/>
  <c r="E288" i="22"/>
  <c r="E250" i="25" s="1"/>
  <c r="D288" i="22"/>
  <c r="D250" i="25" s="1"/>
  <c r="D293" i="22"/>
  <c r="D255" i="25" s="1"/>
  <c r="E293" i="22"/>
  <c r="E255" i="25" s="1"/>
  <c r="D296" i="22"/>
  <c r="D258" i="25" s="1"/>
  <c r="E296" i="22"/>
  <c r="E258" i="25" s="1"/>
  <c r="D113" i="25"/>
  <c r="E113" i="25"/>
  <c r="E114" i="25"/>
  <c r="D114" i="25"/>
  <c r="D115" i="25"/>
  <c r="E115" i="25"/>
  <c r="E116" i="25"/>
  <c r="D116" i="25"/>
  <c r="D117" i="25"/>
  <c r="E117" i="25"/>
  <c r="D118" i="25"/>
  <c r="E118" i="25"/>
  <c r="E119" i="25"/>
  <c r="D119" i="25"/>
  <c r="D120" i="25"/>
  <c r="E120" i="25"/>
  <c r="D300" i="22"/>
  <c r="E300" i="22"/>
  <c r="E304" i="22"/>
  <c r="D304" i="22"/>
  <c r="D306" i="22"/>
  <c r="E306" i="22"/>
  <c r="D302" i="22"/>
  <c r="E302" i="22"/>
  <c r="E299" i="22"/>
  <c r="D299" i="22"/>
  <c r="E303" i="22"/>
  <c r="D303" i="22"/>
  <c r="D301" i="22"/>
  <c r="E301" i="22"/>
  <c r="E305" i="22"/>
  <c r="D305" i="22"/>
  <c r="E307" i="22"/>
  <c r="D307" i="22"/>
  <c r="E308" i="22"/>
  <c r="D308" i="22"/>
  <c r="D319" i="22"/>
  <c r="E319" i="22"/>
  <c r="E326" i="22"/>
  <c r="D326" i="22"/>
  <c r="D331" i="22"/>
  <c r="E331" i="22"/>
  <c r="D310" i="22"/>
  <c r="E310" i="22"/>
  <c r="D313" i="22"/>
  <c r="E313" i="22"/>
  <c r="D314" i="22"/>
  <c r="E314" i="22"/>
  <c r="D316" i="22"/>
  <c r="E316" i="22"/>
  <c r="D321" i="22"/>
  <c r="E321" i="22"/>
  <c r="E327" i="22"/>
  <c r="D327" i="22"/>
  <c r="E329" i="22"/>
  <c r="D329" i="22"/>
  <c r="D332" i="22"/>
  <c r="E332" i="22"/>
  <c r="E334" i="22"/>
  <c r="D334" i="22"/>
  <c r="E336" i="22"/>
  <c r="D336" i="22"/>
  <c r="E338" i="22"/>
  <c r="D338" i="22"/>
  <c r="D341" i="22"/>
  <c r="E341" i="22"/>
  <c r="D315" i="22"/>
  <c r="E315" i="22"/>
  <c r="D317" i="22"/>
  <c r="E317" i="22"/>
  <c r="E320" i="22"/>
  <c r="D320" i="22"/>
  <c r="E322" i="22"/>
  <c r="D322" i="22"/>
  <c r="D325" i="22"/>
  <c r="E325" i="22"/>
  <c r="D328" i="22"/>
  <c r="E328" i="22"/>
  <c r="D335" i="22"/>
  <c r="E335" i="22"/>
  <c r="E337" i="22"/>
  <c r="D337" i="22"/>
  <c r="E343" i="22"/>
  <c r="D343" i="22"/>
  <c r="D344" i="22"/>
  <c r="E344" i="22"/>
  <c r="D345" i="22"/>
  <c r="E345" i="22"/>
  <c r="D311" i="22"/>
  <c r="E311" i="22"/>
  <c r="E323" i="22"/>
  <c r="D323" i="22"/>
  <c r="E333" i="22"/>
  <c r="D333" i="22"/>
  <c r="E340" i="22"/>
  <c r="D340" i="22"/>
  <c r="E342" i="22"/>
  <c r="D342" i="22"/>
  <c r="E260" i="22"/>
  <c r="E222" i="25" s="1"/>
  <c r="D260" i="22"/>
  <c r="D222" i="25" s="1"/>
  <c r="E263" i="22"/>
  <c r="E225" i="25" s="1"/>
  <c r="D263" i="22"/>
  <c r="D225" i="25" s="1"/>
  <c r="E275" i="22"/>
  <c r="E237" i="25" s="1"/>
  <c r="D275" i="22"/>
  <c r="D237" i="25" s="1"/>
  <c r="D259" i="22"/>
  <c r="D221" i="25" s="1"/>
  <c r="E259" i="22"/>
  <c r="E221" i="25" s="1"/>
  <c r="E261" i="22"/>
  <c r="E223" i="25" s="1"/>
  <c r="D261" i="22"/>
  <c r="D223" i="25" s="1"/>
  <c r="E265" i="22"/>
  <c r="E227" i="25" s="1"/>
  <c r="D265" i="22"/>
  <c r="D227" i="25" s="1"/>
  <c r="D266" i="22"/>
  <c r="D228" i="25" s="1"/>
  <c r="E266" i="22"/>
  <c r="E228" i="25" s="1"/>
  <c r="E269" i="22"/>
  <c r="E231" i="25" s="1"/>
  <c r="D269" i="22"/>
  <c r="D231" i="25" s="1"/>
  <c r="D273" i="22"/>
  <c r="D235" i="25" s="1"/>
  <c r="E273" i="22"/>
  <c r="E235" i="25" s="1"/>
  <c r="D277" i="22"/>
  <c r="D239" i="25" s="1"/>
  <c r="E277" i="22"/>
  <c r="E239" i="25" s="1"/>
  <c r="D278" i="22"/>
  <c r="D240" i="25" s="1"/>
  <c r="E278" i="22"/>
  <c r="E240" i="25" s="1"/>
  <c r="E281" i="22"/>
  <c r="E243" i="25" s="1"/>
  <c r="D281" i="22"/>
  <c r="D243" i="25" s="1"/>
  <c r="E283" i="22"/>
  <c r="E245" i="25" s="1"/>
  <c r="D283" i="22"/>
  <c r="D245" i="25" s="1"/>
  <c r="D257" i="22"/>
  <c r="D219" i="25" s="1"/>
  <c r="E257" i="22"/>
  <c r="E219" i="25" s="1"/>
  <c r="D258" i="22"/>
  <c r="D220" i="25" s="1"/>
  <c r="E258" i="22"/>
  <c r="E220" i="25" s="1"/>
  <c r="D262" i="22"/>
  <c r="D224" i="25" s="1"/>
  <c r="E262" i="22"/>
  <c r="E224" i="25" s="1"/>
  <c r="D264" i="22"/>
  <c r="D226" i="25" s="1"/>
  <c r="E264" i="22"/>
  <c r="E226" i="25" s="1"/>
  <c r="E268" i="22"/>
  <c r="E230" i="25" s="1"/>
  <c r="D268" i="22"/>
  <c r="D230" i="25" s="1"/>
  <c r="D270" i="22"/>
  <c r="D232" i="25" s="1"/>
  <c r="E270" i="22"/>
  <c r="E232" i="25" s="1"/>
  <c r="E272" i="22"/>
  <c r="E234" i="25" s="1"/>
  <c r="D272" i="22"/>
  <c r="D234" i="25" s="1"/>
  <c r="D274" i="22"/>
  <c r="D236" i="25" s="1"/>
  <c r="E274" i="22"/>
  <c r="E236" i="25" s="1"/>
  <c r="D276" i="22"/>
  <c r="D238" i="25" s="1"/>
  <c r="E276" i="22"/>
  <c r="E238" i="25" s="1"/>
  <c r="E280" i="22"/>
  <c r="E242" i="25" s="1"/>
  <c r="D280" i="22"/>
  <c r="D242" i="25" s="1"/>
  <c r="D282" i="22"/>
  <c r="D244" i="25" s="1"/>
  <c r="E282" i="22"/>
  <c r="E244" i="25" s="1"/>
  <c r="D284" i="22"/>
  <c r="D246" i="25" s="1"/>
  <c r="E284" i="22"/>
  <c r="E246" i="25" s="1"/>
  <c r="E256" i="22"/>
  <c r="E218" i="25" s="1"/>
  <c r="D256" i="22"/>
  <c r="D218" i="25" s="1"/>
  <c r="E267" i="22"/>
  <c r="E229" i="25" s="1"/>
  <c r="D267" i="22"/>
  <c r="D229" i="25" s="1"/>
  <c r="E271" i="22"/>
  <c r="E233" i="25" s="1"/>
  <c r="D271" i="22"/>
  <c r="D233" i="25" s="1"/>
  <c r="E279" i="22"/>
  <c r="E241" i="25" s="1"/>
  <c r="D279" i="22"/>
  <c r="D241" i="25" s="1"/>
  <c r="E172" i="22"/>
  <c r="E162" i="25" s="1"/>
  <c r="D172" i="22"/>
  <c r="D162" i="25" s="1"/>
  <c r="D175" i="22"/>
  <c r="E175" i="22"/>
  <c r="D178" i="22"/>
  <c r="D163" i="25" s="1"/>
  <c r="E178" i="22"/>
  <c r="E163" i="25" s="1"/>
  <c r="E181" i="22"/>
  <c r="D181" i="22"/>
  <c r="D204" i="22"/>
  <c r="D194" i="25" s="1"/>
  <c r="E204" i="22"/>
  <c r="E194" i="25" s="1"/>
  <c r="E217" i="22"/>
  <c r="E210" i="25" s="1"/>
  <c r="D217" i="22"/>
  <c r="D210" i="25" s="1"/>
  <c r="D222" i="22"/>
  <c r="E222" i="22"/>
  <c r="D173" i="22"/>
  <c r="E173" i="22"/>
  <c r="D176" i="22"/>
  <c r="E176" i="22"/>
  <c r="D179" i="22"/>
  <c r="E179" i="22"/>
  <c r="E182" i="22"/>
  <c r="D182" i="22"/>
  <c r="E205" i="22"/>
  <c r="E195" i="25" s="1"/>
  <c r="D205" i="22"/>
  <c r="D195" i="25" s="1"/>
  <c r="E206" i="22"/>
  <c r="E196" i="25" s="1"/>
  <c r="D206" i="22"/>
  <c r="D196" i="25" s="1"/>
  <c r="E212" i="22"/>
  <c r="D212" i="22"/>
  <c r="E216" i="22"/>
  <c r="E209" i="25" s="1"/>
  <c r="D216" i="22"/>
  <c r="D209" i="25" s="1"/>
  <c r="E218" i="22"/>
  <c r="E211" i="25" s="1"/>
  <c r="D218" i="22"/>
  <c r="D211" i="25" s="1"/>
  <c r="D220" i="22"/>
  <c r="D213" i="25" s="1"/>
  <c r="E220" i="22"/>
  <c r="E213" i="25" s="1"/>
  <c r="E224" i="22"/>
  <c r="D224" i="22"/>
  <c r="D225" i="22"/>
  <c r="D216" i="25" s="1"/>
  <c r="E225" i="22"/>
  <c r="E216" i="25" s="1"/>
  <c r="E171" i="22"/>
  <c r="E161" i="25" s="1"/>
  <c r="D171" i="22"/>
  <c r="D161" i="25" s="1"/>
  <c r="E174" i="22"/>
  <c r="D174" i="22"/>
  <c r="D177" i="22"/>
  <c r="E177" i="22"/>
  <c r="D180" i="22"/>
  <c r="E180" i="22"/>
  <c r="E183" i="22"/>
  <c r="D183" i="22"/>
  <c r="E184" i="22"/>
  <c r="D184" i="22"/>
  <c r="D203" i="22"/>
  <c r="D193" i="25" s="1"/>
  <c r="E203" i="22"/>
  <c r="E193" i="25" s="1"/>
  <c r="E207" i="22"/>
  <c r="E197" i="25" s="1"/>
  <c r="D207" i="22"/>
  <c r="D197" i="25" s="1"/>
  <c r="D209" i="22"/>
  <c r="E209" i="22"/>
  <c r="E210" i="22"/>
  <c r="D210" i="22"/>
  <c r="D213" i="22"/>
  <c r="E213" i="22"/>
  <c r="E221" i="22"/>
  <c r="E214" i="25" s="1"/>
  <c r="D221" i="22"/>
  <c r="D214" i="25" s="1"/>
  <c r="E223" i="22"/>
  <c r="E215" i="25" s="1"/>
  <c r="D223" i="22"/>
  <c r="D215" i="25" s="1"/>
  <c r="E208" i="22"/>
  <c r="D208" i="22"/>
  <c r="E211" i="22"/>
  <c r="E198" i="25" s="1"/>
  <c r="D211" i="22"/>
  <c r="D198" i="25" s="1"/>
  <c r="E215" i="22"/>
  <c r="E208" i="25" s="1"/>
  <c r="D215" i="22"/>
  <c r="D208" i="25" s="1"/>
  <c r="D130" i="22"/>
  <c r="E130" i="22"/>
  <c r="E133" i="22"/>
  <c r="D133" i="22"/>
  <c r="D162" i="22"/>
  <c r="E162" i="22"/>
  <c r="E128" i="22"/>
  <c r="E165" i="25" s="1"/>
  <c r="D128" i="22"/>
  <c r="D165" i="25" s="1"/>
  <c r="E131" i="22"/>
  <c r="D131" i="22"/>
  <c r="D134" i="22"/>
  <c r="E134" i="22"/>
  <c r="D136" i="22"/>
  <c r="E136" i="22"/>
  <c r="E137" i="22"/>
  <c r="D137" i="22"/>
  <c r="E139" i="22"/>
  <c r="E167" i="25" s="1"/>
  <c r="D139" i="22"/>
  <c r="D167" i="25" s="1"/>
  <c r="D140" i="22"/>
  <c r="D168" i="25" s="1"/>
  <c r="E140" i="22"/>
  <c r="E168" i="25" s="1"/>
  <c r="E142" i="22"/>
  <c r="D142" i="22"/>
  <c r="E143" i="22"/>
  <c r="D143" i="22"/>
  <c r="D145" i="22"/>
  <c r="E145" i="22"/>
  <c r="E147" i="22"/>
  <c r="D147" i="22"/>
  <c r="D149" i="22"/>
  <c r="D174" i="25" s="1"/>
  <c r="E149" i="22"/>
  <c r="E174" i="25" s="1"/>
  <c r="E153" i="22"/>
  <c r="E177" i="25" s="1"/>
  <c r="D153" i="22"/>
  <c r="D177" i="25" s="1"/>
  <c r="D154" i="22"/>
  <c r="D178" i="25" s="1"/>
  <c r="E154" i="22"/>
  <c r="E178" i="25" s="1"/>
  <c r="D156" i="22"/>
  <c r="D180" i="25" s="1"/>
  <c r="E156" i="22"/>
  <c r="E180" i="25" s="1"/>
  <c r="E159" i="22"/>
  <c r="E183" i="25" s="1"/>
  <c r="D159" i="22"/>
  <c r="D183" i="25" s="1"/>
  <c r="D165" i="22"/>
  <c r="E165" i="22"/>
  <c r="D132" i="22"/>
  <c r="E132" i="22"/>
  <c r="D138" i="22"/>
  <c r="E138" i="22"/>
  <c r="E141" i="22"/>
  <c r="D141" i="22"/>
  <c r="E144" i="22"/>
  <c r="E169" i="25" s="1"/>
  <c r="D144" i="22"/>
  <c r="D169" i="25" s="1"/>
  <c r="E150" i="22"/>
  <c r="E175" i="25" s="1"/>
  <c r="D150" i="22"/>
  <c r="D175" i="25" s="1"/>
  <c r="D152" i="22"/>
  <c r="D176" i="25" s="1"/>
  <c r="E152" i="22"/>
  <c r="E176" i="25" s="1"/>
  <c r="E155" i="22"/>
  <c r="E179" i="25" s="1"/>
  <c r="D155" i="22"/>
  <c r="D179" i="25" s="1"/>
  <c r="E158" i="22"/>
  <c r="E182" i="25" s="1"/>
  <c r="D158" i="22"/>
  <c r="D182" i="25" s="1"/>
  <c r="D161" i="22"/>
  <c r="D185" i="25" s="1"/>
  <c r="E161" i="22"/>
  <c r="E185" i="25" s="1"/>
  <c r="D164" i="22"/>
  <c r="E164" i="22"/>
  <c r="D167" i="22"/>
  <c r="E167" i="22"/>
  <c r="D168" i="22"/>
  <c r="D187" i="25" s="1"/>
  <c r="E168" i="22"/>
  <c r="E187" i="25" s="1"/>
  <c r="D169" i="22"/>
  <c r="D188" i="25" s="1"/>
  <c r="E169" i="22"/>
  <c r="E188" i="25" s="1"/>
  <c r="D129" i="22"/>
  <c r="D166" i="25" s="1"/>
  <c r="E129" i="22"/>
  <c r="E166" i="25" s="1"/>
  <c r="E135" i="22"/>
  <c r="D135" i="22"/>
  <c r="E148" i="22"/>
  <c r="D148" i="22"/>
  <c r="D151" i="22"/>
  <c r="E151" i="22"/>
  <c r="D157" i="22"/>
  <c r="D181" i="25" s="1"/>
  <c r="E157" i="22"/>
  <c r="E181" i="25" s="1"/>
  <c r="E160" i="22"/>
  <c r="E184" i="25" s="1"/>
  <c r="D160" i="22"/>
  <c r="D184" i="25" s="1"/>
  <c r="D163" i="22"/>
  <c r="D186" i="25" s="1"/>
  <c r="E163" i="22"/>
  <c r="E186" i="25" s="1"/>
  <c r="D166" i="22"/>
  <c r="E166" i="22"/>
  <c r="E247" i="22"/>
  <c r="E152" i="25" s="1"/>
  <c r="D247" i="22"/>
  <c r="D152" i="25" s="1"/>
  <c r="E250" i="22"/>
  <c r="E155" i="25" s="1"/>
  <c r="D250" i="22"/>
  <c r="D155" i="25" s="1"/>
  <c r="E254" i="22"/>
  <c r="E159" i="25" s="1"/>
  <c r="D254" i="22"/>
  <c r="D159" i="25" s="1"/>
  <c r="D246" i="22"/>
  <c r="D151" i="25" s="1"/>
  <c r="E246" i="22"/>
  <c r="E151" i="25" s="1"/>
  <c r="E248" i="22"/>
  <c r="E153" i="25" s="1"/>
  <c r="D248" i="22"/>
  <c r="D153" i="25" s="1"/>
  <c r="D252" i="22"/>
  <c r="D157" i="25" s="1"/>
  <c r="E252" i="22"/>
  <c r="E157" i="25" s="1"/>
  <c r="D253" i="22"/>
  <c r="D158" i="25" s="1"/>
  <c r="E253" i="22"/>
  <c r="E158" i="25" s="1"/>
  <c r="E249" i="22"/>
  <c r="E154" i="25" s="1"/>
  <c r="D249" i="22"/>
  <c r="D154" i="25" s="1"/>
  <c r="D251" i="22"/>
  <c r="D156" i="25" s="1"/>
  <c r="E251" i="22"/>
  <c r="E156" i="25" s="1"/>
  <c r="D231" i="22"/>
  <c r="D143" i="25" s="1"/>
  <c r="E231" i="22"/>
  <c r="E143" i="25" s="1"/>
  <c r="E237" i="22"/>
  <c r="D237" i="22"/>
  <c r="E240" i="22"/>
  <c r="D240" i="22"/>
  <c r="D228" i="22"/>
  <c r="E228" i="22"/>
  <c r="D232" i="22"/>
  <c r="E232" i="22"/>
  <c r="D234" i="22"/>
  <c r="E234" i="22"/>
  <c r="E227" i="22"/>
  <c r="D227" i="22"/>
  <c r="E230" i="22"/>
  <c r="D230" i="22"/>
  <c r="D235" i="22"/>
  <c r="E235" i="22"/>
  <c r="E238" i="22"/>
  <c r="D238" i="22"/>
  <c r="E229" i="22"/>
  <c r="D229" i="22"/>
  <c r="E233" i="22"/>
  <c r="E144" i="25" s="1"/>
  <c r="D233" i="22"/>
  <c r="D144" i="25" s="1"/>
  <c r="E236" i="22"/>
  <c r="D236" i="22"/>
  <c r="D239" i="22"/>
  <c r="E239" i="22"/>
  <c r="D241" i="22"/>
  <c r="E241" i="22"/>
  <c r="D242" i="22"/>
  <c r="E242" i="22"/>
  <c r="E243" i="22"/>
  <c r="D243" i="22"/>
  <c r="E244" i="22"/>
  <c r="D244" i="22"/>
  <c r="N216" i="20"/>
  <c r="T216" i="20" s="1"/>
  <c r="K216" i="20"/>
  <c r="N179" i="20"/>
  <c r="T179" i="20" s="1"/>
  <c r="V179" i="20" s="1"/>
  <c r="K179" i="20"/>
  <c r="O179" i="20" s="1"/>
  <c r="N94" i="20"/>
  <c r="T94" i="20" s="1"/>
  <c r="V94" i="20" s="1"/>
  <c r="K94" i="20"/>
  <c r="O94" i="20" s="1"/>
  <c r="N90" i="20"/>
  <c r="T90" i="20" s="1"/>
  <c r="V90" i="20" s="1"/>
  <c r="K90" i="20"/>
  <c r="O90" i="20" s="1"/>
  <c r="N89" i="20"/>
  <c r="T89" i="20" s="1"/>
  <c r="V89" i="20" s="1"/>
  <c r="K89" i="20"/>
  <c r="O89" i="20" s="1"/>
  <c r="N79" i="20"/>
  <c r="T79" i="20" s="1"/>
  <c r="K79" i="20"/>
  <c r="O79" i="20" s="1"/>
  <c r="N78" i="20"/>
  <c r="T78" i="20" s="1"/>
  <c r="K78" i="20"/>
  <c r="O78" i="20" s="1"/>
  <c r="N97" i="20"/>
  <c r="T97" i="20" s="1"/>
  <c r="K97" i="20"/>
  <c r="O97" i="20" s="1"/>
  <c r="N96" i="20"/>
  <c r="T96" i="20" s="1"/>
  <c r="K96" i="20"/>
  <c r="O96" i="20" s="1"/>
  <c r="N53" i="20"/>
  <c r="T53" i="20" s="1"/>
  <c r="K53" i="20"/>
  <c r="O53" i="20" s="1"/>
  <c r="N52" i="20"/>
  <c r="T52" i="20" s="1"/>
  <c r="K52" i="20"/>
  <c r="O52" i="20" s="1"/>
  <c r="N50" i="20"/>
  <c r="T50" i="20" s="1"/>
  <c r="K50" i="20"/>
  <c r="O50" i="20" s="1"/>
  <c r="N51" i="20"/>
  <c r="T51" i="20" s="1"/>
  <c r="K51" i="20"/>
  <c r="O51" i="20" s="1"/>
  <c r="N14" i="20"/>
  <c r="T14" i="20" s="1"/>
  <c r="V14" i="20" s="1"/>
  <c r="K14" i="20"/>
  <c r="O14" i="20" s="1"/>
  <c r="N13" i="20"/>
  <c r="T13" i="20" s="1"/>
  <c r="V13" i="20" s="1"/>
  <c r="K13" i="20"/>
  <c r="N12" i="20"/>
  <c r="T12" i="20" s="1"/>
  <c r="V12" i="20" s="1"/>
  <c r="K12" i="20"/>
  <c r="O12" i="20" s="1"/>
  <c r="T3" i="20"/>
  <c r="P80" i="20"/>
  <c r="P82" i="20"/>
  <c r="P83" i="20"/>
  <c r="P85" i="20"/>
  <c r="P88" i="20"/>
  <c r="P91" i="20"/>
  <c r="P92" i="20"/>
  <c r="R32" i="20"/>
  <c r="R33" i="20" s="1"/>
  <c r="R34" i="20" s="1"/>
  <c r="R35" i="20" s="1"/>
  <c r="R36" i="20" s="1"/>
  <c r="R37" i="20" s="1"/>
  <c r="R38" i="20" s="1"/>
  <c r="R39" i="20" s="1"/>
  <c r="R40" i="20" s="1"/>
  <c r="R41" i="20" s="1"/>
  <c r="R42" i="20" s="1"/>
  <c r="R43" i="20" s="1"/>
  <c r="R44" i="20" s="1"/>
  <c r="R45" i="20" s="1"/>
  <c r="R46" i="20" s="1"/>
  <c r="R47" i="20" s="1"/>
  <c r="R48" i="20" s="1"/>
  <c r="R49" i="20" s="1"/>
  <c r="R50" i="20" s="1"/>
  <c r="R51" i="20" s="1"/>
  <c r="R52" i="20" s="1"/>
  <c r="R53" i="20" s="1"/>
  <c r="R54" i="20" s="1"/>
  <c r="R55" i="20" s="1"/>
  <c r="R56" i="20" s="1"/>
  <c r="R57" i="20" s="1"/>
  <c r="R58" i="20" s="1"/>
  <c r="R59" i="20" s="1"/>
  <c r="R60" i="20" s="1"/>
  <c r="R61" i="20" s="1"/>
  <c r="R62" i="20" s="1"/>
  <c r="R63" i="20" s="1"/>
  <c r="R64" i="20" s="1"/>
  <c r="R65" i="20" s="1"/>
  <c r="R66" i="20" s="1"/>
  <c r="R67" i="20" s="1"/>
  <c r="R68" i="20" s="1"/>
  <c r="R69" i="20" s="1"/>
  <c r="R70" i="20" s="1"/>
  <c r="R71" i="20" s="1"/>
  <c r="R72" i="20" s="1"/>
  <c r="R73" i="20" s="1"/>
  <c r="R74" i="20" s="1"/>
  <c r="R75" i="20" s="1"/>
  <c r="R76" i="20" s="1"/>
  <c r="R77" i="20" s="1"/>
  <c r="R78" i="20" s="1"/>
  <c r="R79" i="20" s="1"/>
  <c r="R80" i="20" s="1"/>
  <c r="R81" i="20" s="1"/>
  <c r="R82" i="20" s="1"/>
  <c r="R83" i="20" s="1"/>
  <c r="R84" i="20" s="1"/>
  <c r="R85" i="20" s="1"/>
  <c r="R86" i="20" s="1"/>
  <c r="R87" i="20" s="1"/>
  <c r="R88" i="20" s="1"/>
  <c r="R89" i="20" s="1"/>
  <c r="R90" i="20" s="1"/>
  <c r="R91" i="20" s="1"/>
  <c r="R92" i="20" s="1"/>
  <c r="R93" i="20" s="1"/>
  <c r="R94" i="20" s="1"/>
  <c r="R95" i="20" s="1"/>
  <c r="R96" i="20" s="1"/>
  <c r="R97" i="20" s="1"/>
  <c r="R98" i="20" s="1"/>
  <c r="R99" i="20" s="1"/>
  <c r="R100" i="20" s="1"/>
  <c r="R101" i="20" s="1"/>
  <c r="R102" i="20" s="1"/>
  <c r="R103" i="20" s="1"/>
  <c r="R104" i="20" s="1"/>
  <c r="R105" i="20" s="1"/>
  <c r="R106" i="20" s="1"/>
  <c r="R107" i="20" s="1"/>
  <c r="R108" i="20" s="1"/>
  <c r="R109" i="20" s="1"/>
  <c r="R110" i="20" s="1"/>
  <c r="R111" i="20" s="1"/>
  <c r="R112" i="20" s="1"/>
  <c r="R113" i="20" s="1"/>
  <c r="R114" i="20" s="1"/>
  <c r="R115" i="20" s="1"/>
  <c r="R116" i="20" s="1"/>
  <c r="R117" i="20" s="1"/>
  <c r="R118" i="20" s="1"/>
  <c r="R119" i="20" s="1"/>
  <c r="R120" i="20" s="1"/>
  <c r="R121" i="20" s="1"/>
  <c r="R122" i="20" s="1"/>
  <c r="R123" i="20" s="1"/>
  <c r="R124" i="20" s="1"/>
  <c r="R125" i="20" s="1"/>
  <c r="R126" i="20" s="1"/>
  <c r="R127" i="20" s="1"/>
  <c r="R128" i="20" s="1"/>
  <c r="R129" i="20" s="1"/>
  <c r="R130" i="20" s="1"/>
  <c r="R131" i="20" s="1"/>
  <c r="R132" i="20" s="1"/>
  <c r="R133" i="20" s="1"/>
  <c r="R134" i="20" s="1"/>
  <c r="R135" i="20" s="1"/>
  <c r="R136" i="20" s="1"/>
  <c r="R137" i="20" s="1"/>
  <c r="R138" i="20" s="1"/>
  <c r="R139" i="20" s="1"/>
  <c r="R140" i="20" s="1"/>
  <c r="R141" i="20" s="1"/>
  <c r="R142" i="20" s="1"/>
  <c r="R143" i="20" s="1"/>
  <c r="R144" i="20" s="1"/>
  <c r="R145" i="20" s="1"/>
  <c r="R146" i="20" s="1"/>
  <c r="R147" i="20" s="1"/>
  <c r="R148" i="20" s="1"/>
  <c r="R149" i="20" s="1"/>
  <c r="R150" i="20" s="1"/>
  <c r="R151" i="20" s="1"/>
  <c r="R152" i="20" s="1"/>
  <c r="R153" i="20" s="1"/>
  <c r="R154" i="20" s="1"/>
  <c r="R155" i="20" s="1"/>
  <c r="R156" i="20" s="1"/>
  <c r="R157" i="20" s="1"/>
  <c r="R158" i="20" s="1"/>
  <c r="R159" i="20" s="1"/>
  <c r="R160" i="20" s="1"/>
  <c r="R161" i="20" s="1"/>
  <c r="R162" i="20" s="1"/>
  <c r="R163" i="20" s="1"/>
  <c r="R164" i="20" s="1"/>
  <c r="R165" i="20" s="1"/>
  <c r="R166" i="20" s="1"/>
  <c r="R167" i="20" s="1"/>
  <c r="R168" i="20" s="1"/>
  <c r="R169" i="20" s="1"/>
  <c r="R170" i="20" s="1"/>
  <c r="R171" i="20" s="1"/>
  <c r="R172" i="20" s="1"/>
  <c r="R173" i="20" s="1"/>
  <c r="R174" i="20" s="1"/>
  <c r="R175" i="20" s="1"/>
  <c r="R176" i="20" s="1"/>
  <c r="R177" i="20" s="1"/>
  <c r="R178" i="20" s="1"/>
  <c r="R179" i="20" s="1"/>
  <c r="R180" i="20" s="1"/>
  <c r="R181" i="20" s="1"/>
  <c r="R182" i="20" s="1"/>
  <c r="R183" i="20" s="1"/>
  <c r="R184" i="20" s="1"/>
  <c r="R185" i="20" s="1"/>
  <c r="R186" i="20" s="1"/>
  <c r="R187" i="20" s="1"/>
  <c r="R188" i="20" s="1"/>
  <c r="R189" i="20" s="1"/>
  <c r="R190" i="20" s="1"/>
  <c r="R191" i="20" s="1"/>
  <c r="R192" i="20" s="1"/>
  <c r="R193" i="20" s="1"/>
  <c r="R194" i="20" s="1"/>
  <c r="R195" i="20" s="1"/>
  <c r="R196" i="20" s="1"/>
  <c r="R197" i="20" s="1"/>
  <c r="R198" i="20" s="1"/>
  <c r="R199" i="20" s="1"/>
  <c r="R200" i="20" s="1"/>
  <c r="R201" i="20" s="1"/>
  <c r="R202" i="20" s="1"/>
  <c r="R203" i="20" s="1"/>
  <c r="R204" i="20" s="1"/>
  <c r="R205" i="20" s="1"/>
  <c r="R206" i="20" s="1"/>
  <c r="R207" i="20" s="1"/>
  <c r="R208" i="20" s="1"/>
  <c r="R209" i="20" s="1"/>
  <c r="R210" i="20" s="1"/>
  <c r="R211" i="20" s="1"/>
  <c r="R212" i="20" s="1"/>
  <c r="R213" i="20" s="1"/>
  <c r="R214" i="20" s="1"/>
  <c r="R215" i="20" s="1"/>
  <c r="R216" i="20" s="1"/>
  <c r="R217" i="20" s="1"/>
  <c r="R218" i="20" s="1"/>
  <c r="R219" i="20" s="1"/>
  <c r="R220" i="20" s="1"/>
  <c r="R221" i="20" s="1"/>
  <c r="R222" i="20" s="1"/>
  <c r="R223" i="20" s="1"/>
  <c r="R224" i="20" s="1"/>
  <c r="R225" i="20" s="1"/>
  <c r="R226" i="20" s="1"/>
  <c r="R227" i="20" s="1"/>
  <c r="R228" i="20" s="1"/>
  <c r="R229" i="20" s="1"/>
  <c r="R230" i="20" s="1"/>
  <c r="R231" i="20" s="1"/>
  <c r="R232" i="20" s="1"/>
  <c r="R233" i="20" s="1"/>
  <c r="R234" i="20" s="1"/>
  <c r="R235" i="20" s="1"/>
  <c r="R236" i="20" s="1"/>
  <c r="R237" i="20" s="1"/>
  <c r="R238" i="20" s="1"/>
  <c r="R239" i="20" s="1"/>
  <c r="R240" i="20" s="1"/>
  <c r="R241" i="20" s="1"/>
  <c r="R242" i="20" s="1"/>
  <c r="R243" i="20" s="1"/>
  <c r="R244" i="20" s="1"/>
  <c r="R245" i="20" s="1"/>
  <c r="R246" i="20" s="1"/>
  <c r="R247" i="20" s="1"/>
  <c r="R248" i="20" s="1"/>
  <c r="R249" i="20" s="1"/>
  <c r="R250" i="20" s="1"/>
  <c r="R251" i="20" s="1"/>
  <c r="R252" i="20" s="1"/>
  <c r="R253" i="20" s="1"/>
  <c r="R254" i="20" s="1"/>
  <c r="R255" i="20" s="1"/>
  <c r="R256" i="20" s="1"/>
  <c r="R257" i="20" s="1"/>
  <c r="R258" i="20" s="1"/>
  <c r="R259" i="20" s="1"/>
  <c r="R260" i="20" s="1"/>
  <c r="R261" i="20" s="1"/>
  <c r="R262" i="20" s="1"/>
  <c r="R263" i="20" s="1"/>
  <c r="R264" i="20" s="1"/>
  <c r="R265" i="20" s="1"/>
  <c r="R266" i="20" s="1"/>
  <c r="R267" i="20" s="1"/>
  <c r="R268" i="20" s="1"/>
  <c r="R269" i="20" s="1"/>
  <c r="R270" i="20" s="1"/>
  <c r="R271" i="20" s="1"/>
  <c r="R272" i="20" s="1"/>
  <c r="R273" i="20" s="1"/>
  <c r="R274" i="20" s="1"/>
  <c r="R275" i="20" s="1"/>
  <c r="R276" i="20" s="1"/>
  <c r="R277" i="20" s="1"/>
  <c r="R278" i="20" s="1"/>
  <c r="R279" i="20" s="1"/>
  <c r="R280" i="20" s="1"/>
  <c r="R281" i="20" s="1"/>
  <c r="R282" i="20" s="1"/>
  <c r="R283" i="20" s="1"/>
  <c r="R284" i="20" s="1"/>
  <c r="R285" i="20" s="1"/>
  <c r="R286" i="20" s="1"/>
  <c r="R287" i="20" s="1"/>
  <c r="R288" i="20" s="1"/>
  <c r="R289" i="20" s="1"/>
  <c r="R290" i="20" s="1"/>
  <c r="R291" i="20" s="1"/>
  <c r="R292" i="20" s="1"/>
  <c r="R293" i="20" s="1"/>
  <c r="R294" i="20" s="1"/>
  <c r="R295" i="20" s="1"/>
  <c r="R296" i="20" s="1"/>
  <c r="R297" i="20" s="1"/>
  <c r="R298" i="20" s="1"/>
  <c r="R299" i="20" s="1"/>
  <c r="R300" i="20" s="1"/>
  <c r="R301" i="20" s="1"/>
  <c r="R302" i="20" s="1"/>
  <c r="R303" i="20" s="1"/>
  <c r="R304" i="20" s="1"/>
  <c r="R305" i="20" s="1"/>
  <c r="R306" i="20" s="1"/>
  <c r="R307" i="20" s="1"/>
  <c r="R308" i="20" s="1"/>
  <c r="R309" i="20" s="1"/>
  <c r="R310" i="20" s="1"/>
  <c r="R311" i="20" s="1"/>
  <c r="R312" i="20" s="1"/>
  <c r="R313" i="20" s="1"/>
  <c r="R314" i="20" s="1"/>
  <c r="R315" i="20" s="1"/>
  <c r="R316" i="20" s="1"/>
  <c r="R317" i="20" s="1"/>
  <c r="R318" i="20" s="1"/>
  <c r="R319" i="20" s="1"/>
  <c r="R320" i="20" s="1"/>
  <c r="R321" i="20" s="1"/>
  <c r="R322" i="20" s="1"/>
  <c r="R323" i="20" s="1"/>
  <c r="R324" i="20" s="1"/>
  <c r="R325" i="20" s="1"/>
  <c r="R326" i="20" s="1"/>
  <c r="R327" i="20" s="1"/>
  <c r="R328" i="20" s="1"/>
  <c r="R329" i="20" s="1"/>
  <c r="R330" i="20" s="1"/>
  <c r="R331" i="20" s="1"/>
  <c r="R332" i="20" s="1"/>
  <c r="R333" i="20" s="1"/>
  <c r="N218" i="20"/>
  <c r="T218" i="20" s="1"/>
  <c r="N320" i="20"/>
  <c r="T320" i="20" s="1"/>
  <c r="N230" i="20"/>
  <c r="T230" i="20" s="1"/>
  <c r="V230" i="20" s="1"/>
  <c r="L191" i="20"/>
  <c r="N149" i="20"/>
  <c r="T149" i="20" s="1"/>
  <c r="V149" i="20" s="1"/>
  <c r="N147" i="20"/>
  <c r="T147" i="20" s="1"/>
  <c r="V147" i="20" s="1"/>
  <c r="L142" i="20"/>
  <c r="L141" i="20"/>
  <c r="L71" i="20"/>
  <c r="L63" i="20"/>
  <c r="N35" i="20"/>
  <c r="T35" i="20" s="1"/>
  <c r="V35" i="20" s="1"/>
  <c r="N319" i="20"/>
  <c r="T319" i="20" s="1"/>
  <c r="V319" i="20" s="1"/>
  <c r="N219" i="20"/>
  <c r="T219" i="20" s="1"/>
  <c r="V219" i="20" s="1"/>
  <c r="N222" i="20"/>
  <c r="T222" i="20" s="1"/>
  <c r="V222" i="20" s="1"/>
  <c r="N223" i="20"/>
  <c r="T223" i="20" s="1"/>
  <c r="V223" i="20" s="1"/>
  <c r="N316" i="20"/>
  <c r="T316" i="20" s="1"/>
  <c r="L223" i="20"/>
  <c r="N329" i="20"/>
  <c r="T329" i="20" s="1"/>
  <c r="N237" i="20"/>
  <c r="T237" i="20" s="1"/>
  <c r="V237" i="20" s="1"/>
  <c r="L231" i="20"/>
  <c r="P231" i="20" s="1"/>
  <c r="N189" i="20"/>
  <c r="T189" i="20" s="1"/>
  <c r="N183" i="20"/>
  <c r="T183" i="20" s="1"/>
  <c r="L182" i="20"/>
  <c r="N144" i="20"/>
  <c r="T144" i="20" s="1"/>
  <c r="N142" i="20"/>
  <c r="T142" i="20" s="1"/>
  <c r="V142" i="20" s="1"/>
  <c r="N76" i="20"/>
  <c r="T76" i="20" s="1"/>
  <c r="V76" i="20" s="1"/>
  <c r="N74" i="20"/>
  <c r="T74" i="20" s="1"/>
  <c r="V74" i="20" s="1"/>
  <c r="N73" i="20"/>
  <c r="T73" i="20" s="1"/>
  <c r="V73" i="20" s="1"/>
  <c r="L72" i="20"/>
  <c r="N69" i="20"/>
  <c r="T69" i="20" s="1"/>
  <c r="N68" i="20"/>
  <c r="T68" i="20" s="1"/>
  <c r="N67" i="20"/>
  <c r="T67" i="20" s="1"/>
  <c r="N62" i="20"/>
  <c r="T62" i="20" s="1"/>
  <c r="V62" i="20" s="1"/>
  <c r="N61" i="20"/>
  <c r="T61" i="20" s="1"/>
  <c r="V61" i="20" s="1"/>
  <c r="N60" i="20"/>
  <c r="T60" i="20" s="1"/>
  <c r="V60" i="20" s="1"/>
  <c r="N225" i="20"/>
  <c r="T225" i="20" s="1"/>
  <c r="V225" i="20" s="1"/>
  <c r="N135" i="20"/>
  <c r="T135" i="20" s="1"/>
  <c r="V135" i="20" s="1"/>
  <c r="N134" i="20"/>
  <c r="T134" i="20" s="1"/>
  <c r="V134" i="20" s="1"/>
  <c r="L134" i="20"/>
  <c r="N133" i="20"/>
  <c r="T133" i="20" s="1"/>
  <c r="V133" i="20" s="1"/>
  <c r="L133" i="20"/>
  <c r="N132" i="20"/>
  <c r="T132" i="20" s="1"/>
  <c r="V132" i="20" s="1"/>
  <c r="N332" i="20"/>
  <c r="T332" i="20" s="1"/>
  <c r="V332" i="20" s="1"/>
  <c r="N331" i="20"/>
  <c r="T331" i="20" s="1"/>
  <c r="N333" i="20"/>
  <c r="T333" i="20" s="1"/>
  <c r="V333" i="20" s="1"/>
  <c r="N71" i="20"/>
  <c r="T71" i="20" s="1"/>
  <c r="V71" i="20" s="1"/>
  <c r="L65" i="20"/>
  <c r="N59" i="20"/>
  <c r="T59" i="20" s="1"/>
  <c r="V59" i="20" s="1"/>
  <c r="L57" i="20"/>
  <c r="N57" i="20"/>
  <c r="T57" i="20" s="1"/>
  <c r="N56" i="20"/>
  <c r="T56" i="20" s="1"/>
  <c r="L55" i="20"/>
  <c r="N55" i="20"/>
  <c r="T55" i="20" s="1"/>
  <c r="N49" i="20"/>
  <c r="T49" i="20" s="1"/>
  <c r="V49" i="20" s="1"/>
  <c r="L49" i="20"/>
  <c r="N47" i="20"/>
  <c r="T47" i="20" s="1"/>
  <c r="V47" i="20" s="1"/>
  <c r="L47" i="20"/>
  <c r="N46" i="20"/>
  <c r="T46" i="20" s="1"/>
  <c r="V46" i="20" s="1"/>
  <c r="N45" i="20"/>
  <c r="T45" i="20" s="1"/>
  <c r="V45" i="20" s="1"/>
  <c r="L45" i="20"/>
  <c r="N44" i="20"/>
  <c r="T44" i="20" s="1"/>
  <c r="V44" i="20" s="1"/>
  <c r="N43" i="20"/>
  <c r="T43" i="20" s="1"/>
  <c r="V43" i="20" s="1"/>
  <c r="L43" i="20"/>
  <c r="N41" i="20"/>
  <c r="T41" i="20" s="1"/>
  <c r="V41" i="20" s="1"/>
  <c r="L41" i="20"/>
  <c r="N39" i="20"/>
  <c r="T39" i="20" s="1"/>
  <c r="L39" i="20"/>
  <c r="N38" i="20"/>
  <c r="T38" i="20" s="1"/>
  <c r="N34" i="20"/>
  <c r="T34" i="20" s="1"/>
  <c r="V34" i="20" s="1"/>
  <c r="N33" i="20"/>
  <c r="T33" i="20" s="1"/>
  <c r="V33" i="20" s="1"/>
  <c r="N32" i="20"/>
  <c r="T32" i="20" s="1"/>
  <c r="V32" i="20" s="1"/>
  <c r="N330" i="20"/>
  <c r="T330" i="20" s="1"/>
  <c r="N315" i="20"/>
  <c r="T315" i="20" s="1"/>
  <c r="O315" i="20"/>
  <c r="D36" i="22"/>
  <c r="L150" i="20"/>
  <c r="O150" i="20"/>
  <c r="L149" i="20"/>
  <c r="O149" i="20"/>
  <c r="L148" i="20"/>
  <c r="O148" i="20"/>
  <c r="L147" i="20"/>
  <c r="O147" i="20"/>
  <c r="L146" i="20"/>
  <c r="O146" i="20"/>
  <c r="L145" i="20"/>
  <c r="O145" i="20"/>
  <c r="L144" i="20"/>
  <c r="O144" i="20"/>
  <c r="L143" i="20"/>
  <c r="O143" i="20"/>
  <c r="L140" i="20"/>
  <c r="O140" i="20"/>
  <c r="L139" i="20"/>
  <c r="O139" i="20"/>
  <c r="L138" i="20"/>
  <c r="O138" i="20"/>
  <c r="L137" i="20"/>
  <c r="O137" i="20"/>
  <c r="L136" i="20"/>
  <c r="O136" i="20"/>
  <c r="L135" i="20"/>
  <c r="O135" i="20"/>
  <c r="S32" i="20"/>
  <c r="I25" i="21" s="1"/>
  <c r="Q335" i="20"/>
  <c r="H26" i="21" s="1"/>
  <c r="C19" i="21"/>
  <c r="E19" i="21"/>
  <c r="D19" i="21"/>
  <c r="F19" i="21" s="1"/>
  <c r="P32" i="20"/>
  <c r="N58" i="20"/>
  <c r="T58" i="20" s="1"/>
  <c r="O58" i="20"/>
  <c r="L94" i="20"/>
  <c r="L90" i="20"/>
  <c r="L89" i="20"/>
  <c r="L79" i="20"/>
  <c r="L78" i="20"/>
  <c r="L97" i="20"/>
  <c r="L96" i="20"/>
  <c r="L53" i="20"/>
  <c r="L52" i="20"/>
  <c r="L50" i="20"/>
  <c r="L51" i="20"/>
  <c r="L14" i="20"/>
  <c r="L12" i="20"/>
  <c r="P76" i="20"/>
  <c r="P218" i="20" l="1"/>
  <c r="P221" i="20"/>
  <c r="P215" i="20"/>
  <c r="P202" i="20"/>
  <c r="P69" i="20"/>
  <c r="P142" i="20"/>
  <c r="P49" i="20"/>
  <c r="P47" i="20"/>
  <c r="P323" i="20"/>
  <c r="P62" i="20"/>
  <c r="P325" i="20"/>
  <c r="P208" i="20"/>
  <c r="P45" i="20"/>
  <c r="P213" i="20"/>
  <c r="P61" i="20"/>
  <c r="P70" i="20"/>
  <c r="P316" i="20"/>
  <c r="P41" i="20"/>
  <c r="P74" i="20"/>
  <c r="P43" i="20"/>
  <c r="P44" i="20"/>
  <c r="P113" i="20"/>
  <c r="P219" i="20"/>
  <c r="P143" i="20"/>
  <c r="P149" i="20"/>
  <c r="P73" i="20"/>
  <c r="P155" i="20"/>
  <c r="P217" i="20"/>
  <c r="P114" i="20"/>
  <c r="P157" i="20"/>
  <c r="P39" i="20"/>
  <c r="P183" i="20"/>
  <c r="P48" i="20"/>
  <c r="P126" i="20"/>
  <c r="P66" i="20"/>
  <c r="D25" i="22"/>
  <c r="P128" i="20"/>
  <c r="P119" i="20"/>
  <c r="P67" i="20"/>
  <c r="P130" i="20"/>
  <c r="P140" i="20"/>
  <c r="P71" i="20"/>
  <c r="P68" i="20"/>
  <c r="P319" i="20"/>
  <c r="P120" i="20"/>
  <c r="P322" i="20"/>
  <c r="P122" i="20"/>
  <c r="P59" i="20"/>
  <c r="P177" i="20"/>
  <c r="P46" i="20"/>
  <c r="P196" i="20"/>
  <c r="P117" i="20"/>
  <c r="P124" i="20"/>
  <c r="P58" i="20"/>
  <c r="P65" i="20"/>
  <c r="P136" i="20"/>
  <c r="P159" i="20"/>
  <c r="P207" i="20"/>
  <c r="P209" i="20"/>
  <c r="P210" i="20"/>
  <c r="P212" i="20"/>
  <c r="P158" i="20"/>
  <c r="P154" i="20"/>
  <c r="P153" i="20"/>
  <c r="P152" i="20"/>
  <c r="P118" i="20"/>
  <c r="P116" i="20"/>
  <c r="P115" i="20"/>
  <c r="P112" i="20"/>
  <c r="P314" i="20"/>
  <c r="P305" i="20"/>
  <c r="P324" i="20"/>
  <c r="P226" i="20"/>
  <c r="P188" i="20"/>
  <c r="P187" i="20"/>
  <c r="P77" i="20"/>
  <c r="P63" i="20"/>
  <c r="P171" i="20"/>
  <c r="P161" i="20"/>
  <c r="P205" i="20"/>
  <c r="P206" i="20"/>
  <c r="P211" i="20"/>
  <c r="P306" i="20"/>
  <c r="P307" i="20"/>
  <c r="P309" i="20"/>
  <c r="P310" i="20"/>
  <c r="P311" i="20"/>
  <c r="P312" i="20"/>
  <c r="P313" i="20"/>
  <c r="P148" i="20"/>
  <c r="P156" i="20"/>
  <c r="P178" i="20"/>
  <c r="P121" i="20"/>
  <c r="P127" i="20"/>
  <c r="P125" i="20"/>
  <c r="P317" i="20"/>
  <c r="P185" i="20"/>
  <c r="P184" i="20"/>
  <c r="P123" i="20"/>
  <c r="P186" i="20"/>
  <c r="P180" i="20"/>
  <c r="P330" i="20"/>
  <c r="P214" i="20"/>
  <c r="P197" i="20"/>
  <c r="P198" i="20"/>
  <c r="P199" i="20"/>
  <c r="P200" i="20"/>
  <c r="P201" i="20"/>
  <c r="P203" i="20"/>
  <c r="P204" i="20"/>
  <c r="P333" i="20"/>
  <c r="P131" i="20"/>
  <c r="P129" i="20"/>
  <c r="P144" i="20"/>
  <c r="D30" i="22"/>
  <c r="P151" i="20"/>
  <c r="P189" i="20"/>
  <c r="P327" i="20"/>
  <c r="P193" i="20"/>
  <c r="P192" i="20"/>
  <c r="P326" i="20"/>
  <c r="P195" i="20"/>
  <c r="P194" i="20"/>
  <c r="P150" i="20"/>
  <c r="P146" i="20"/>
  <c r="P139" i="20"/>
  <c r="P332" i="20"/>
  <c r="D24" i="25"/>
  <c r="P250" i="20"/>
  <c r="E24" i="25" s="1"/>
  <c r="D25" i="25"/>
  <c r="P252" i="20"/>
  <c r="E25" i="25" s="1"/>
  <c r="D26" i="25"/>
  <c r="P254" i="20"/>
  <c r="E26" i="25" s="1"/>
  <c r="P262" i="20"/>
  <c r="E27" i="25" s="1"/>
  <c r="D27" i="25"/>
  <c r="P275" i="20"/>
  <c r="E28" i="25" s="1"/>
  <c r="D28" i="25"/>
  <c r="P247" i="20"/>
  <c r="E23" i="25" s="1"/>
  <c r="D23" i="25"/>
  <c r="D29" i="25"/>
  <c r="P280" i="20"/>
  <c r="E29" i="25" s="1"/>
  <c r="D30" i="25"/>
  <c r="P295" i="20"/>
  <c r="E30" i="25" s="1"/>
  <c r="P56" i="20"/>
  <c r="P220" i="20"/>
  <c r="P222" i="20"/>
  <c r="P331" i="20"/>
  <c r="P191" i="20"/>
  <c r="P176" i="20"/>
  <c r="P173" i="20"/>
  <c r="P30" i="20"/>
  <c r="P28" i="20"/>
  <c r="P175" i="20"/>
  <c r="P172" i="20"/>
  <c r="P165" i="20"/>
  <c r="P164" i="20"/>
  <c r="P31" i="20"/>
  <c r="P29" i="20"/>
  <c r="P27" i="20"/>
  <c r="P132" i="20"/>
  <c r="D27" i="22"/>
  <c r="P25" i="20"/>
  <c r="D22" i="22"/>
  <c r="P243" i="20"/>
  <c r="E22" i="25" s="1"/>
  <c r="D22" i="25"/>
  <c r="P320" i="20"/>
  <c r="P321" i="20"/>
  <c r="P37" i="20"/>
  <c r="P60" i="20"/>
  <c r="P328" i="20"/>
  <c r="P329" i="20"/>
  <c r="P223" i="20"/>
  <c r="P134" i="20"/>
  <c r="P133" i="20"/>
  <c r="P138" i="20"/>
  <c r="P57" i="20"/>
  <c r="P15" i="20"/>
  <c r="D34" i="22"/>
  <c r="P190" i="20"/>
  <c r="P216" i="20"/>
  <c r="D35" i="22"/>
  <c r="P75" i="20"/>
  <c r="P94" i="20"/>
  <c r="P90" i="20"/>
  <c r="P89" i="20"/>
  <c r="P79" i="20"/>
  <c r="P97" i="20"/>
  <c r="P53" i="20"/>
  <c r="P52" i="20"/>
  <c r="P51" i="20"/>
  <c r="P14" i="20"/>
  <c r="P72" i="20"/>
  <c r="P137" i="20"/>
  <c r="P141" i="20"/>
  <c r="P182" i="20"/>
  <c r="P147" i="20"/>
  <c r="P145" i="20"/>
  <c r="D32" i="22"/>
  <c r="P181" i="20"/>
  <c r="P64" i="20"/>
  <c r="D28" i="22"/>
  <c r="D33" i="22"/>
  <c r="P55" i="20"/>
  <c r="P38" i="20"/>
  <c r="D37" i="22"/>
  <c r="U3" i="20"/>
  <c r="U4" i="20" s="1"/>
  <c r="U5" i="20" s="1"/>
  <c r="U6" i="20" s="1"/>
  <c r="U7" i="20" s="1"/>
  <c r="U8" i="20" s="1"/>
  <c r="U9" i="20" s="1"/>
  <c r="U10" i="20" s="1"/>
  <c r="U11" i="20" s="1"/>
  <c r="U12" i="20" s="1"/>
  <c r="U13" i="20" s="1"/>
  <c r="U14" i="20" s="1"/>
  <c r="U15" i="20" s="1"/>
  <c r="U16" i="20" s="1"/>
  <c r="U17" i="20" s="1"/>
  <c r="U18" i="20" s="1"/>
  <c r="U19" i="20" s="1"/>
  <c r="U20" i="20" s="1"/>
  <c r="U21" i="20" s="1"/>
  <c r="U22" i="20" s="1"/>
  <c r="U23" i="20" s="1"/>
  <c r="U24" i="20" s="1"/>
  <c r="U25" i="20" s="1"/>
  <c r="V3" i="20"/>
  <c r="T335" i="20"/>
  <c r="A26" i="21" s="1"/>
  <c r="C20" i="21"/>
  <c r="D38" i="22"/>
  <c r="P315" i="20"/>
  <c r="D29" i="22"/>
  <c r="P135" i="20"/>
  <c r="M25" i="21"/>
  <c r="L25" i="21"/>
  <c r="K25" i="21"/>
  <c r="J25" i="21"/>
  <c r="H27" i="21"/>
  <c r="I26" i="21"/>
  <c r="D26" i="22"/>
  <c r="P78" i="20"/>
  <c r="D24" i="22"/>
  <c r="P96" i="20"/>
  <c r="D23" i="22"/>
  <c r="P50" i="20"/>
  <c r="D21" i="22"/>
  <c r="P12" i="20"/>
  <c r="E36" i="22"/>
  <c r="F36" i="22" s="1"/>
  <c r="D31" i="22"/>
  <c r="P179" i="20"/>
  <c r="D20" i="21"/>
  <c r="E30" i="22" l="1"/>
  <c r="F30" i="22" s="1"/>
  <c r="E21" i="22"/>
  <c r="F21" i="22" s="1"/>
  <c r="F29" i="25"/>
  <c r="F26" i="25"/>
  <c r="F30" i="25"/>
  <c r="F24" i="25"/>
  <c r="F27" i="25"/>
  <c r="E35" i="22"/>
  <c r="F35" i="22" s="1"/>
  <c r="E32" i="22"/>
  <c r="F32" i="22" s="1"/>
  <c r="F28" i="25"/>
  <c r="F23" i="25"/>
  <c r="E31" i="22"/>
  <c r="F31" i="22" s="1"/>
  <c r="E26" i="22"/>
  <c r="F26" i="22" s="1"/>
  <c r="E24" i="22"/>
  <c r="F24" i="22" s="1"/>
  <c r="E27" i="22"/>
  <c r="F27" i="22" s="1"/>
  <c r="F25" i="25"/>
  <c r="E34" i="22"/>
  <c r="F34" i="22" s="1"/>
  <c r="D31" i="25"/>
  <c r="D39" i="22" s="1"/>
  <c r="D40" i="22" s="1"/>
  <c r="E37" i="22"/>
  <c r="F37" i="22" s="1"/>
  <c r="E28" i="22"/>
  <c r="F28" i="22" s="1"/>
  <c r="E38" i="22"/>
  <c r="F38" i="22" s="1"/>
  <c r="E25" i="22"/>
  <c r="F25" i="22" s="1"/>
  <c r="E22" i="22"/>
  <c r="F22" i="22" s="1"/>
  <c r="E33" i="22"/>
  <c r="F33" i="22" s="1"/>
  <c r="E29" i="22"/>
  <c r="F29" i="22" s="1"/>
  <c r="F22" i="25"/>
  <c r="E31" i="25"/>
  <c r="V25" i="20"/>
  <c r="U26" i="20"/>
  <c r="A27" i="21"/>
  <c r="I27" i="21"/>
  <c r="H28" i="21"/>
  <c r="J26" i="21"/>
  <c r="K26" i="21"/>
  <c r="L26" i="21"/>
  <c r="M26" i="21"/>
  <c r="E20" i="21"/>
  <c r="F20" i="21" s="1"/>
  <c r="E23" i="22"/>
  <c r="F31" i="25" l="1"/>
  <c r="E39" i="22"/>
  <c r="V26" i="20"/>
  <c r="B26" i="21" s="1"/>
  <c r="U27" i="20"/>
  <c r="U28" i="20" s="1"/>
  <c r="U29" i="20" s="1"/>
  <c r="U30" i="20" s="1"/>
  <c r="U31" i="20" s="1"/>
  <c r="U32" i="20" s="1"/>
  <c r="U33" i="20" s="1"/>
  <c r="U34" i="20" s="1"/>
  <c r="U35" i="20" s="1"/>
  <c r="U36" i="20" s="1"/>
  <c r="U37" i="20" s="1"/>
  <c r="A28" i="21"/>
  <c r="J27" i="21"/>
  <c r="K27" i="21"/>
  <c r="L27" i="21"/>
  <c r="M27" i="21"/>
  <c r="I28" i="21"/>
  <c r="H29" i="21"/>
  <c r="B25" i="21"/>
  <c r="F23" i="22"/>
  <c r="F39" i="22" l="1"/>
  <c r="E40" i="22"/>
  <c r="F40" i="22" s="1"/>
  <c r="V37" i="20"/>
  <c r="B27" i="21" s="1"/>
  <c r="U38" i="20"/>
  <c r="A29" i="21"/>
  <c r="J28" i="21"/>
  <c r="K28" i="21"/>
  <c r="L28" i="21"/>
  <c r="M28" i="21"/>
  <c r="I29" i="21"/>
  <c r="H30" i="21"/>
  <c r="D25" i="21"/>
  <c r="C25" i="21"/>
  <c r="F25" i="21"/>
  <c r="E25" i="21"/>
  <c r="F26" i="21"/>
  <c r="E26" i="21"/>
  <c r="D26" i="21"/>
  <c r="C26" i="21"/>
  <c r="V38" i="20" l="1"/>
  <c r="B28" i="21" s="1"/>
  <c r="U39" i="20"/>
  <c r="A30" i="21"/>
  <c r="J29" i="21"/>
  <c r="K29" i="21"/>
  <c r="L29" i="21"/>
  <c r="M29" i="21"/>
  <c r="I30" i="21"/>
  <c r="H31" i="21"/>
  <c r="C27" i="21"/>
  <c r="D27" i="21"/>
  <c r="E27" i="21"/>
  <c r="F27" i="21"/>
  <c r="V39" i="20" l="1"/>
  <c r="U40" i="20"/>
  <c r="A31" i="21"/>
  <c r="J30" i="21"/>
  <c r="K30" i="21"/>
  <c r="L30" i="21"/>
  <c r="M30" i="21"/>
  <c r="I31" i="21"/>
  <c r="H32" i="21"/>
  <c r="C28" i="21"/>
  <c r="D28" i="21"/>
  <c r="E28" i="21"/>
  <c r="F28" i="21"/>
  <c r="V40" i="20" l="1"/>
  <c r="B30" i="21" s="1"/>
  <c r="U41" i="20"/>
  <c r="U42" i="20" s="1"/>
  <c r="U43" i="20" s="1"/>
  <c r="U44" i="20" s="1"/>
  <c r="U45" i="20" s="1"/>
  <c r="U46" i="20" s="1"/>
  <c r="U47" i="20" s="1"/>
  <c r="U48" i="20" s="1"/>
  <c r="U49" i="20" s="1"/>
  <c r="U50" i="20" s="1"/>
  <c r="A32" i="21"/>
  <c r="J31" i="21"/>
  <c r="K31" i="21"/>
  <c r="L31" i="21"/>
  <c r="M31" i="21"/>
  <c r="I32" i="21"/>
  <c r="H33" i="21"/>
  <c r="B29" i="21"/>
  <c r="V50" i="20" l="1"/>
  <c r="B31" i="21" s="1"/>
  <c r="U51" i="20"/>
  <c r="A33" i="21"/>
  <c r="J32" i="21"/>
  <c r="K32" i="21"/>
  <c r="L32" i="21"/>
  <c r="M32" i="21"/>
  <c r="I33" i="21"/>
  <c r="H34" i="21"/>
  <c r="F29" i="21"/>
  <c r="E29" i="21"/>
  <c r="D29" i="21"/>
  <c r="C29" i="21"/>
  <c r="F30" i="21"/>
  <c r="E30" i="21"/>
  <c r="D30" i="21"/>
  <c r="C30" i="21"/>
  <c r="V51" i="20" l="1"/>
  <c r="U52" i="20"/>
  <c r="A34" i="21"/>
  <c r="J33" i="21"/>
  <c r="K33" i="21"/>
  <c r="L33" i="21"/>
  <c r="M33" i="21"/>
  <c r="I34" i="21"/>
  <c r="H35" i="21"/>
  <c r="C31" i="21"/>
  <c r="E31" i="21"/>
  <c r="F31" i="21"/>
  <c r="D31" i="21"/>
  <c r="V52" i="20" l="1"/>
  <c r="B33" i="21" s="1"/>
  <c r="U53" i="20"/>
  <c r="A35" i="21"/>
  <c r="J34" i="21"/>
  <c r="K34" i="21"/>
  <c r="L34" i="21"/>
  <c r="M34" i="21"/>
  <c r="I35" i="21"/>
  <c r="H36" i="21"/>
  <c r="B32" i="21"/>
  <c r="V53" i="20" l="1"/>
  <c r="B34" i="21" s="1"/>
  <c r="C34" i="21" s="1"/>
  <c r="U54" i="20"/>
  <c r="U55" i="20" s="1"/>
  <c r="A36" i="21"/>
  <c r="J35" i="21"/>
  <c r="K35" i="21"/>
  <c r="L35" i="21"/>
  <c r="M35" i="21"/>
  <c r="I36" i="21"/>
  <c r="H37" i="21"/>
  <c r="F32" i="21"/>
  <c r="E32" i="21"/>
  <c r="D32" i="21"/>
  <c r="C32" i="21"/>
  <c r="F33" i="21"/>
  <c r="E33" i="21"/>
  <c r="D33" i="21"/>
  <c r="C33" i="21"/>
  <c r="F34" i="21" l="1"/>
  <c r="D34" i="21"/>
  <c r="E34" i="21"/>
  <c r="V55" i="20"/>
  <c r="B35" i="21" s="1"/>
  <c r="U56" i="20"/>
  <c r="A37" i="21"/>
  <c r="J36" i="21"/>
  <c r="K36" i="21"/>
  <c r="L36" i="21"/>
  <c r="M36" i="21"/>
  <c r="I37" i="21"/>
  <c r="H38" i="21"/>
  <c r="C35" i="21" l="1"/>
  <c r="D35" i="21"/>
  <c r="F35" i="21"/>
  <c r="E35" i="21"/>
  <c r="V56" i="20"/>
  <c r="B36" i="21" s="1"/>
  <c r="U57" i="20"/>
  <c r="A38" i="21"/>
  <c r="J37" i="21"/>
  <c r="K37" i="21"/>
  <c r="L37" i="21"/>
  <c r="M37" i="21"/>
  <c r="I38" i="21"/>
  <c r="H39" i="21"/>
  <c r="V57" i="20" l="1"/>
  <c r="U58" i="20"/>
  <c r="A39" i="21"/>
  <c r="J38" i="21"/>
  <c r="K38" i="21"/>
  <c r="L38" i="21"/>
  <c r="M38" i="21"/>
  <c r="I39" i="21"/>
  <c r="H40" i="21"/>
  <c r="C36" i="21"/>
  <c r="D36" i="21"/>
  <c r="E36" i="21"/>
  <c r="F36" i="21"/>
  <c r="V58" i="20" l="1"/>
  <c r="B38" i="21" s="1"/>
  <c r="U59" i="20"/>
  <c r="U60" i="20" s="1"/>
  <c r="U61" i="20" s="1"/>
  <c r="U62" i="20" s="1"/>
  <c r="U63" i="20" s="1"/>
  <c r="U64" i="20" s="1"/>
  <c r="A40" i="21"/>
  <c r="J39" i="21"/>
  <c r="K39" i="21"/>
  <c r="L39" i="21"/>
  <c r="M39" i="21"/>
  <c r="I40" i="21"/>
  <c r="H41" i="21"/>
  <c r="B37" i="21"/>
  <c r="V64" i="20" l="1"/>
  <c r="B39" i="21" s="1"/>
  <c r="U65" i="20"/>
  <c r="A41" i="21"/>
  <c r="J40" i="21"/>
  <c r="K40" i="21"/>
  <c r="L40" i="21"/>
  <c r="M40" i="21"/>
  <c r="I41" i="21"/>
  <c r="H42" i="21"/>
  <c r="F37" i="21"/>
  <c r="E37" i="21"/>
  <c r="D37" i="21"/>
  <c r="C37" i="21"/>
  <c r="F38" i="21"/>
  <c r="E38" i="21"/>
  <c r="D38" i="21"/>
  <c r="C38" i="21"/>
  <c r="V65" i="20" l="1"/>
  <c r="U66" i="20"/>
  <c r="A42" i="21"/>
  <c r="J41" i="21"/>
  <c r="K41" i="21"/>
  <c r="L41" i="21"/>
  <c r="M41" i="21"/>
  <c r="I42" i="21"/>
  <c r="H43" i="21"/>
  <c r="C39" i="21"/>
  <c r="D39" i="21"/>
  <c r="E39" i="21"/>
  <c r="F39" i="21"/>
  <c r="V66" i="20" l="1"/>
  <c r="B41" i="21" s="1"/>
  <c r="U67" i="20"/>
  <c r="A43" i="21"/>
  <c r="J42" i="21"/>
  <c r="K42" i="21"/>
  <c r="L42" i="21"/>
  <c r="M42" i="21"/>
  <c r="I43" i="21"/>
  <c r="H44" i="21"/>
  <c r="B40" i="21"/>
  <c r="V67" i="20" l="1"/>
  <c r="U68" i="20"/>
  <c r="A44" i="21"/>
  <c r="J43" i="21"/>
  <c r="K43" i="21"/>
  <c r="L43" i="21"/>
  <c r="M43" i="21"/>
  <c r="I44" i="21"/>
  <c r="H45" i="21"/>
  <c r="F40" i="21"/>
  <c r="E40" i="21"/>
  <c r="D40" i="21"/>
  <c r="C40" i="21"/>
  <c r="F41" i="21"/>
  <c r="E41" i="21"/>
  <c r="D41" i="21"/>
  <c r="C41" i="21"/>
  <c r="V68" i="20" l="1"/>
  <c r="U69" i="20"/>
  <c r="A45" i="21"/>
  <c r="J44" i="21"/>
  <c r="K44" i="21"/>
  <c r="L44" i="21"/>
  <c r="M44" i="21"/>
  <c r="I45" i="21"/>
  <c r="H46" i="21"/>
  <c r="B42" i="21"/>
  <c r="V69" i="20" l="1"/>
  <c r="B44" i="21" s="1"/>
  <c r="U70" i="20"/>
  <c r="A46" i="21"/>
  <c r="J45" i="21"/>
  <c r="K45" i="21"/>
  <c r="L45" i="21"/>
  <c r="M45" i="21"/>
  <c r="I46" i="21"/>
  <c r="H47" i="21"/>
  <c r="F42" i="21"/>
  <c r="E42" i="21"/>
  <c r="D42" i="21"/>
  <c r="C42" i="21"/>
  <c r="B43" i="21"/>
  <c r="V70" i="20" l="1"/>
  <c r="B45" i="21" s="1"/>
  <c r="U71" i="20"/>
  <c r="U72" i="20" s="1"/>
  <c r="U73" i="20" s="1"/>
  <c r="U74" i="20" s="1"/>
  <c r="U75" i="20" s="1"/>
  <c r="U76" i="20" s="1"/>
  <c r="U77" i="20" s="1"/>
  <c r="U78" i="20" s="1"/>
  <c r="A47" i="21"/>
  <c r="K46" i="21"/>
  <c r="M46" i="21"/>
  <c r="J46" i="21"/>
  <c r="L46" i="21"/>
  <c r="I47" i="21"/>
  <c r="H48" i="21"/>
  <c r="F44" i="21"/>
  <c r="E44" i="21"/>
  <c r="D44" i="21"/>
  <c r="C44" i="21"/>
  <c r="C43" i="21"/>
  <c r="D43" i="21"/>
  <c r="E43" i="21"/>
  <c r="F43" i="21"/>
  <c r="V78" i="20" l="1"/>
  <c r="U79" i="20"/>
  <c r="A48" i="21"/>
  <c r="K47" i="21"/>
  <c r="M47" i="21"/>
  <c r="J47" i="21"/>
  <c r="L47" i="21"/>
  <c r="I48" i="21"/>
  <c r="H49" i="21"/>
  <c r="C45" i="21"/>
  <c r="D45" i="21"/>
  <c r="E45" i="21"/>
  <c r="F45" i="21"/>
  <c r="V79" i="20" l="1"/>
  <c r="U80" i="20"/>
  <c r="A49" i="21"/>
  <c r="K48" i="21"/>
  <c r="L48" i="21"/>
  <c r="M48" i="21"/>
  <c r="J48" i="21"/>
  <c r="I49" i="21"/>
  <c r="H50" i="21"/>
  <c r="B46" i="21"/>
  <c r="V80" i="20" l="1"/>
  <c r="B48" i="21" s="1"/>
  <c r="U81" i="20"/>
  <c r="A50" i="21"/>
  <c r="K49" i="21"/>
  <c r="M49" i="21"/>
  <c r="J49" i="21"/>
  <c r="L49" i="21"/>
  <c r="I50" i="21"/>
  <c r="H51" i="21"/>
  <c r="F46" i="21"/>
  <c r="E46" i="21"/>
  <c r="D46" i="21"/>
  <c r="C46" i="21"/>
  <c r="B47" i="21"/>
  <c r="V81" i="20" l="1"/>
  <c r="B49" i="21" s="1"/>
  <c r="U82" i="20"/>
  <c r="A51" i="21"/>
  <c r="K50" i="21"/>
  <c r="J50" i="21"/>
  <c r="L50" i="21"/>
  <c r="M50" i="21"/>
  <c r="I51" i="21"/>
  <c r="H52" i="21"/>
  <c r="F48" i="21"/>
  <c r="D48" i="21"/>
  <c r="C48" i="21"/>
  <c r="E48" i="21"/>
  <c r="D47" i="21"/>
  <c r="C47" i="21"/>
  <c r="E47" i="21"/>
  <c r="F47" i="21"/>
  <c r="V82" i="20" l="1"/>
  <c r="B50" i="21" s="1"/>
  <c r="U83" i="20"/>
  <c r="A52" i="21"/>
  <c r="K51" i="21"/>
  <c r="M51" i="21"/>
  <c r="J51" i="21"/>
  <c r="L51" i="21"/>
  <c r="H53" i="21"/>
  <c r="I52" i="21"/>
  <c r="D49" i="21"/>
  <c r="C49" i="21"/>
  <c r="E49" i="21"/>
  <c r="F49" i="21"/>
  <c r="V83" i="20" l="1"/>
  <c r="U84" i="20"/>
  <c r="A53" i="21"/>
  <c r="H54" i="21"/>
  <c r="I53" i="21"/>
  <c r="J52" i="21"/>
  <c r="L52" i="21"/>
  <c r="M52" i="21"/>
  <c r="K52" i="21"/>
  <c r="C50" i="21"/>
  <c r="F50" i="21"/>
  <c r="D50" i="21"/>
  <c r="E50" i="21"/>
  <c r="V84" i="20" l="1"/>
  <c r="B52" i="21" s="1"/>
  <c r="U85" i="20"/>
  <c r="A54" i="21"/>
  <c r="H55" i="21"/>
  <c r="I54" i="21"/>
  <c r="L53" i="21"/>
  <c r="J53" i="21"/>
  <c r="K53" i="21"/>
  <c r="M53" i="21"/>
  <c r="B51" i="21"/>
  <c r="V85" i="20" l="1"/>
  <c r="B53" i="21" s="1"/>
  <c r="U86" i="20"/>
  <c r="A55" i="21"/>
  <c r="I55" i="21"/>
  <c r="H56" i="21"/>
  <c r="K54" i="21"/>
  <c r="M54" i="21"/>
  <c r="J54" i="21"/>
  <c r="L54" i="21"/>
  <c r="E51" i="21"/>
  <c r="C51" i="21"/>
  <c r="F51" i="21"/>
  <c r="D51" i="21"/>
  <c r="D52" i="21"/>
  <c r="F52" i="21"/>
  <c r="E52" i="21"/>
  <c r="C52" i="21"/>
  <c r="D53" i="21" l="1"/>
  <c r="F53" i="21"/>
  <c r="C53" i="21"/>
  <c r="E53" i="21"/>
  <c r="V86" i="20"/>
  <c r="U87" i="20"/>
  <c r="U88" i="20" s="1"/>
  <c r="A56" i="21"/>
  <c r="J55" i="21"/>
  <c r="L55" i="21"/>
  <c r="M55" i="21"/>
  <c r="K55" i="21"/>
  <c r="I56" i="21"/>
  <c r="H57" i="21"/>
  <c r="V88" i="20" l="1"/>
  <c r="B55" i="21" s="1"/>
  <c r="U89" i="20"/>
  <c r="U90" i="20" s="1"/>
  <c r="U91" i="20" s="1"/>
  <c r="U92" i="20" s="1"/>
  <c r="U93" i="20" s="1"/>
  <c r="U94" i="20" s="1"/>
  <c r="U95" i="20" s="1"/>
  <c r="U96" i="20" s="1"/>
  <c r="A57" i="21"/>
  <c r="J56" i="21"/>
  <c r="L56" i="21"/>
  <c r="M56" i="21"/>
  <c r="K56" i="21"/>
  <c r="I57" i="21"/>
  <c r="H58" i="21"/>
  <c r="B54" i="21"/>
  <c r="V96" i="20" l="1"/>
  <c r="U97" i="20"/>
  <c r="A58" i="21"/>
  <c r="J57" i="21"/>
  <c r="K57" i="21"/>
  <c r="L57" i="21"/>
  <c r="M57" i="21"/>
  <c r="I58" i="21"/>
  <c r="H59" i="21"/>
  <c r="F54" i="21"/>
  <c r="D54" i="21"/>
  <c r="C54" i="21"/>
  <c r="E54" i="21"/>
  <c r="E55" i="21"/>
  <c r="C55" i="21"/>
  <c r="F55" i="21"/>
  <c r="D55" i="21"/>
  <c r="V97" i="20" l="1"/>
  <c r="B57" i="21" s="1"/>
  <c r="U98" i="20"/>
  <c r="A59" i="21"/>
  <c r="J58" i="21"/>
  <c r="K58" i="21"/>
  <c r="L58" i="21"/>
  <c r="M58" i="21"/>
  <c r="I59" i="21"/>
  <c r="H60" i="21"/>
  <c r="B56" i="21"/>
  <c r="V98" i="20" l="1"/>
  <c r="U99" i="20"/>
  <c r="U100" i="20" s="1"/>
  <c r="U101" i="20" s="1"/>
  <c r="U102" i="20" s="1"/>
  <c r="U103" i="20" s="1"/>
  <c r="U104" i="20" s="1"/>
  <c r="U105" i="20" s="1"/>
  <c r="U106" i="20" s="1"/>
  <c r="U107" i="20" s="1"/>
  <c r="U108" i="20" s="1"/>
  <c r="U109" i="20" s="1"/>
  <c r="U110" i="20" s="1"/>
  <c r="U111" i="20" s="1"/>
  <c r="U112" i="20" s="1"/>
  <c r="A60" i="21"/>
  <c r="J59" i="21"/>
  <c r="K59" i="21"/>
  <c r="L59" i="21"/>
  <c r="M59" i="21"/>
  <c r="I60" i="21"/>
  <c r="H61" i="21"/>
  <c r="F56" i="21"/>
  <c r="C56" i="21"/>
  <c r="E56" i="21"/>
  <c r="D56" i="21"/>
  <c r="C57" i="21"/>
  <c r="F57" i="21"/>
  <c r="E57" i="21"/>
  <c r="D57" i="21"/>
  <c r="V112" i="20" l="1"/>
  <c r="B59" i="21" s="1"/>
  <c r="U113" i="20"/>
  <c r="A61" i="21"/>
  <c r="J60" i="21"/>
  <c r="K60" i="21"/>
  <c r="L60" i="21"/>
  <c r="M60" i="21"/>
  <c r="I61" i="21"/>
  <c r="H62" i="21"/>
  <c r="B58" i="21"/>
  <c r="V113" i="20" l="1"/>
  <c r="B60" i="21" s="1"/>
  <c r="C60" i="21" s="1"/>
  <c r="U114" i="20"/>
  <c r="A62" i="21"/>
  <c r="J61" i="21"/>
  <c r="K61" i="21"/>
  <c r="L61" i="21"/>
  <c r="M61" i="21"/>
  <c r="I62" i="21"/>
  <c r="H63" i="21"/>
  <c r="F58" i="21"/>
  <c r="E58" i="21"/>
  <c r="D58" i="21"/>
  <c r="C58" i="21"/>
  <c r="F59" i="21"/>
  <c r="E59" i="21"/>
  <c r="D59" i="21"/>
  <c r="C59" i="21"/>
  <c r="D60" i="21" l="1"/>
  <c r="E60" i="21"/>
  <c r="F60" i="21"/>
  <c r="V114" i="20"/>
  <c r="B61" i="21" s="1"/>
  <c r="U115" i="20"/>
  <c r="A63" i="21"/>
  <c r="J62" i="21"/>
  <c r="K62" i="21"/>
  <c r="L62" i="21"/>
  <c r="M62" i="21"/>
  <c r="I63" i="21"/>
  <c r="H64" i="21"/>
  <c r="C61" i="21" l="1"/>
  <c r="D61" i="21"/>
  <c r="E61" i="21"/>
  <c r="F61" i="21"/>
  <c r="V115" i="20"/>
  <c r="U116" i="20"/>
  <c r="A64" i="21"/>
  <c r="J63" i="21"/>
  <c r="K63" i="21"/>
  <c r="L63" i="21"/>
  <c r="M63" i="21"/>
  <c r="I64" i="21"/>
  <c r="H65" i="21"/>
  <c r="V116" i="20" l="1"/>
  <c r="B63" i="21" s="1"/>
  <c r="U117" i="20"/>
  <c r="A65" i="21"/>
  <c r="J64" i="21"/>
  <c r="K64" i="21"/>
  <c r="L64" i="21"/>
  <c r="M64" i="21"/>
  <c r="I65" i="21"/>
  <c r="H66" i="21"/>
  <c r="B62" i="21"/>
  <c r="V117" i="20" l="1"/>
  <c r="B64" i="21" s="1"/>
  <c r="U118" i="20"/>
  <c r="A66" i="21"/>
  <c r="J65" i="21"/>
  <c r="K65" i="21"/>
  <c r="L65" i="21"/>
  <c r="M65" i="21"/>
  <c r="I66" i="21"/>
  <c r="H67" i="21"/>
  <c r="F62" i="21"/>
  <c r="E62" i="21"/>
  <c r="D62" i="21"/>
  <c r="C62" i="21"/>
  <c r="F63" i="21"/>
  <c r="E63" i="21"/>
  <c r="D63" i="21"/>
  <c r="C63" i="21"/>
  <c r="V118" i="20" l="1"/>
  <c r="B65" i="21" s="1"/>
  <c r="U119" i="20"/>
  <c r="A67" i="21"/>
  <c r="J66" i="21"/>
  <c r="K66" i="21"/>
  <c r="L66" i="21"/>
  <c r="M66" i="21"/>
  <c r="I67" i="21"/>
  <c r="H68" i="21"/>
  <c r="C64" i="21"/>
  <c r="D64" i="21"/>
  <c r="E64" i="21"/>
  <c r="F64" i="21"/>
  <c r="C65" i="21" l="1"/>
  <c r="D65" i="21"/>
  <c r="E65" i="21"/>
  <c r="F65" i="21"/>
  <c r="V119" i="20"/>
  <c r="B66" i="21" s="1"/>
  <c r="U120" i="20"/>
  <c r="U121" i="20" s="1"/>
  <c r="U122" i="20" s="1"/>
  <c r="U123" i="20" s="1"/>
  <c r="U124" i="20" s="1"/>
  <c r="U125" i="20" s="1"/>
  <c r="U126" i="20" s="1"/>
  <c r="U127" i="20" s="1"/>
  <c r="U128" i="20" s="1"/>
  <c r="U129" i="20" s="1"/>
  <c r="U130" i="20" s="1"/>
  <c r="U131" i="20" s="1"/>
  <c r="U132" i="20" s="1"/>
  <c r="U133" i="20" s="1"/>
  <c r="U134" i="20" s="1"/>
  <c r="U135" i="20" s="1"/>
  <c r="U136" i="20" s="1"/>
  <c r="U137" i="20" s="1"/>
  <c r="U138" i="20" s="1"/>
  <c r="U139" i="20" s="1"/>
  <c r="U140" i="20" s="1"/>
  <c r="A68" i="21"/>
  <c r="J67" i="21"/>
  <c r="K67" i="21"/>
  <c r="L67" i="21"/>
  <c r="M67" i="21"/>
  <c r="I68" i="21"/>
  <c r="H69" i="21"/>
  <c r="V140" i="20" l="1"/>
  <c r="B67" i="21" s="1"/>
  <c r="U141" i="20"/>
  <c r="U142" i="20" s="1"/>
  <c r="U143" i="20" s="1"/>
  <c r="U144" i="20" s="1"/>
  <c r="A69" i="21"/>
  <c r="J68" i="21"/>
  <c r="K68" i="21"/>
  <c r="L68" i="21"/>
  <c r="M68" i="21"/>
  <c r="I69" i="21"/>
  <c r="H70" i="21"/>
  <c r="C66" i="21"/>
  <c r="D66" i="21"/>
  <c r="E66" i="21"/>
  <c r="F66" i="21"/>
  <c r="C67" i="21" l="1"/>
  <c r="D67" i="21"/>
  <c r="E67" i="21"/>
  <c r="F67" i="21"/>
  <c r="V144" i="20"/>
  <c r="B68" i="21" s="1"/>
  <c r="C68" i="21" s="1"/>
  <c r="U145" i="20"/>
  <c r="U146" i="20" s="1"/>
  <c r="U147" i="20" s="1"/>
  <c r="U148" i="20" s="1"/>
  <c r="U149" i="20" s="1"/>
  <c r="U150" i="20" s="1"/>
  <c r="U151" i="20" s="1"/>
  <c r="A70" i="21"/>
  <c r="J69" i="21"/>
  <c r="K69" i="21"/>
  <c r="L69" i="21"/>
  <c r="M69" i="21"/>
  <c r="I70" i="21"/>
  <c r="H71" i="21"/>
  <c r="V151" i="20" l="1"/>
  <c r="B69" i="21" s="1"/>
  <c r="U152" i="20"/>
  <c r="A71" i="21"/>
  <c r="J70" i="21"/>
  <c r="K70" i="21"/>
  <c r="L70" i="21"/>
  <c r="M70" i="21"/>
  <c r="I71" i="21"/>
  <c r="H72" i="21"/>
  <c r="D68" i="21"/>
  <c r="E68" i="21"/>
  <c r="F68" i="21"/>
  <c r="V152" i="20" l="1"/>
  <c r="B70" i="21" s="1"/>
  <c r="U153" i="20"/>
  <c r="A72" i="21"/>
  <c r="J71" i="21"/>
  <c r="K71" i="21"/>
  <c r="L71" i="21"/>
  <c r="M71" i="21"/>
  <c r="I72" i="21"/>
  <c r="H73" i="21"/>
  <c r="C69" i="21"/>
  <c r="D69" i="21"/>
  <c r="E69" i="21"/>
  <c r="F69" i="21"/>
  <c r="V153" i="20" l="1"/>
  <c r="B71" i="21" s="1"/>
  <c r="U154" i="20"/>
  <c r="A73" i="21"/>
  <c r="J72" i="21"/>
  <c r="K72" i="21"/>
  <c r="L72" i="21"/>
  <c r="M72" i="21"/>
  <c r="I73" i="21"/>
  <c r="H74" i="21"/>
  <c r="C70" i="21"/>
  <c r="D70" i="21"/>
  <c r="E70" i="21"/>
  <c r="F70" i="21"/>
  <c r="V154" i="20" l="1"/>
  <c r="U155" i="20"/>
  <c r="A74" i="21"/>
  <c r="J73" i="21"/>
  <c r="K73" i="21"/>
  <c r="L73" i="21"/>
  <c r="M73" i="21"/>
  <c r="I74" i="21"/>
  <c r="H75" i="21"/>
  <c r="C71" i="21"/>
  <c r="D71" i="21"/>
  <c r="E71" i="21"/>
  <c r="F71" i="21"/>
  <c r="V155" i="20" l="1"/>
  <c r="B73" i="21" s="1"/>
  <c r="U156" i="20"/>
  <c r="U157" i="20" s="1"/>
  <c r="U158" i="20" s="1"/>
  <c r="U159" i="20" s="1"/>
  <c r="U160" i="20" s="1"/>
  <c r="U161" i="20" s="1"/>
  <c r="U162" i="20" s="1"/>
  <c r="A75" i="21"/>
  <c r="J74" i="21"/>
  <c r="K74" i="21"/>
  <c r="L74" i="21"/>
  <c r="M74" i="21"/>
  <c r="I75" i="21"/>
  <c r="H76" i="21"/>
  <c r="B72" i="21"/>
  <c r="V162" i="20" l="1"/>
  <c r="B74" i="21" s="1"/>
  <c r="U163" i="20"/>
  <c r="A76" i="21"/>
  <c r="J75" i="21"/>
  <c r="K75" i="21"/>
  <c r="L75" i="21"/>
  <c r="M75" i="21"/>
  <c r="I76" i="21"/>
  <c r="H77" i="21"/>
  <c r="F72" i="21"/>
  <c r="E72" i="21"/>
  <c r="D72" i="21"/>
  <c r="C72" i="21"/>
  <c r="F73" i="21"/>
  <c r="E73" i="21"/>
  <c r="D73" i="21"/>
  <c r="C73" i="21"/>
  <c r="V163" i="20" l="1"/>
  <c r="U164" i="20"/>
  <c r="A77" i="21"/>
  <c r="J76" i="21"/>
  <c r="K76" i="21"/>
  <c r="L76" i="21"/>
  <c r="M76" i="21"/>
  <c r="I77" i="21"/>
  <c r="H78" i="21"/>
  <c r="C74" i="21"/>
  <c r="D74" i="21"/>
  <c r="E74" i="21"/>
  <c r="F74" i="21"/>
  <c r="V164" i="20" l="1"/>
  <c r="U165" i="20"/>
  <c r="U166" i="20" s="1"/>
  <c r="U167" i="20" s="1"/>
  <c r="U168" i="20" s="1"/>
  <c r="U169" i="20" s="1"/>
  <c r="U170" i="20" s="1"/>
  <c r="U171" i="20" s="1"/>
  <c r="U172" i="20" s="1"/>
  <c r="U173" i="20" s="1"/>
  <c r="U174" i="20" s="1"/>
  <c r="U175" i="20" s="1"/>
  <c r="U176" i="20" s="1"/>
  <c r="U177" i="20" s="1"/>
  <c r="U178" i="20" s="1"/>
  <c r="U179" i="20" s="1"/>
  <c r="U180" i="20" s="1"/>
  <c r="U181" i="20" s="1"/>
  <c r="A78" i="21"/>
  <c r="J77" i="21"/>
  <c r="K77" i="21"/>
  <c r="L77" i="21"/>
  <c r="M77" i="21"/>
  <c r="I78" i="21"/>
  <c r="H79" i="21"/>
  <c r="B75" i="21"/>
  <c r="V181" i="20" l="1"/>
  <c r="B77" i="21" s="1"/>
  <c r="U182" i="20"/>
  <c r="A79" i="21"/>
  <c r="J78" i="21"/>
  <c r="K78" i="21"/>
  <c r="L78" i="21"/>
  <c r="M78" i="21"/>
  <c r="I79" i="21"/>
  <c r="H80" i="21"/>
  <c r="F75" i="21"/>
  <c r="E75" i="21"/>
  <c r="D75" i="21"/>
  <c r="C75" i="21"/>
  <c r="B76" i="21"/>
  <c r="V182" i="20" l="1"/>
  <c r="B78" i="21" s="1"/>
  <c r="U183" i="20"/>
  <c r="A80" i="21"/>
  <c r="J79" i="21"/>
  <c r="K79" i="21"/>
  <c r="L79" i="21"/>
  <c r="M79" i="21"/>
  <c r="I80" i="21"/>
  <c r="H81" i="21"/>
  <c r="F77" i="21"/>
  <c r="E77" i="21"/>
  <c r="D77" i="21"/>
  <c r="C77" i="21"/>
  <c r="C76" i="21"/>
  <c r="D76" i="21"/>
  <c r="E76" i="21"/>
  <c r="F76" i="21"/>
  <c r="V183" i="20" l="1"/>
  <c r="B79" i="21" s="1"/>
  <c r="U184" i="20"/>
  <c r="U185" i="20" s="1"/>
  <c r="U186" i="20" s="1"/>
  <c r="U187" i="20" s="1"/>
  <c r="A81" i="21"/>
  <c r="J80" i="21"/>
  <c r="K80" i="21"/>
  <c r="L80" i="21"/>
  <c r="M80" i="21"/>
  <c r="I81" i="21"/>
  <c r="H82" i="21"/>
  <c r="C78" i="21"/>
  <c r="D78" i="21"/>
  <c r="E78" i="21"/>
  <c r="F78" i="21"/>
  <c r="V187" i="20" l="1"/>
  <c r="U188" i="20"/>
  <c r="A82" i="21"/>
  <c r="J81" i="21"/>
  <c r="K81" i="21"/>
  <c r="L81" i="21"/>
  <c r="M81" i="21"/>
  <c r="I82" i="21"/>
  <c r="H83" i="21"/>
  <c r="C79" i="21"/>
  <c r="D79" i="21"/>
  <c r="E79" i="21"/>
  <c r="F79" i="21"/>
  <c r="V188" i="20" l="1"/>
  <c r="B81" i="21" s="1"/>
  <c r="U189" i="20"/>
  <c r="A83" i="21"/>
  <c r="J82" i="21"/>
  <c r="K82" i="21"/>
  <c r="L82" i="21"/>
  <c r="M82" i="21"/>
  <c r="I83" i="21"/>
  <c r="H84" i="21"/>
  <c r="B80" i="21"/>
  <c r="V189" i="20" l="1"/>
  <c r="U190" i="20"/>
  <c r="A84" i="21"/>
  <c r="J83" i="21"/>
  <c r="K83" i="21"/>
  <c r="L83" i="21"/>
  <c r="M83" i="21"/>
  <c r="I84" i="21"/>
  <c r="H85" i="21"/>
  <c r="F80" i="21"/>
  <c r="E80" i="21"/>
  <c r="D80" i="21"/>
  <c r="C80" i="21"/>
  <c r="F81" i="21"/>
  <c r="E81" i="21"/>
  <c r="D81" i="21"/>
  <c r="C81" i="21"/>
  <c r="V190" i="20" l="1"/>
  <c r="U191" i="20"/>
  <c r="U192" i="20" s="1"/>
  <c r="U193" i="20" s="1"/>
  <c r="U194" i="20" s="1"/>
  <c r="U195" i="20" s="1"/>
  <c r="U196" i="20" s="1"/>
  <c r="U197" i="20" s="1"/>
  <c r="U198" i="20" s="1"/>
  <c r="U199" i="20" s="1"/>
  <c r="U200" i="20" s="1"/>
  <c r="U201" i="20" s="1"/>
  <c r="U202" i="20" s="1"/>
  <c r="U203" i="20" s="1"/>
  <c r="U204" i="20" s="1"/>
  <c r="U205" i="20" s="1"/>
  <c r="U206" i="20" s="1"/>
  <c r="U207" i="20" s="1"/>
  <c r="U208" i="20" s="1"/>
  <c r="U209" i="20" s="1"/>
  <c r="U210" i="20" s="1"/>
  <c r="U211" i="20" s="1"/>
  <c r="U212" i="20" s="1"/>
  <c r="U213" i="20" s="1"/>
  <c r="U214" i="20" s="1"/>
  <c r="U215" i="20" s="1"/>
  <c r="U216" i="20" s="1"/>
  <c r="A85" i="21"/>
  <c r="J84" i="21"/>
  <c r="K84" i="21"/>
  <c r="L84" i="21"/>
  <c r="M84" i="21"/>
  <c r="I85" i="21"/>
  <c r="H86" i="21"/>
  <c r="B82" i="21"/>
  <c r="B83" i="21"/>
  <c r="V216" i="20" l="1"/>
  <c r="U217" i="20"/>
  <c r="A86" i="21"/>
  <c r="J85" i="21"/>
  <c r="K85" i="21"/>
  <c r="L85" i="21"/>
  <c r="M85" i="21"/>
  <c r="I86" i="21"/>
  <c r="H87" i="21"/>
  <c r="F82" i="21"/>
  <c r="E82" i="21"/>
  <c r="D82" i="21"/>
  <c r="C82" i="21"/>
  <c r="F83" i="21"/>
  <c r="E83" i="21"/>
  <c r="D83" i="21"/>
  <c r="C83" i="21"/>
  <c r="V217" i="20" l="1"/>
  <c r="B85" i="21" s="1"/>
  <c r="U218" i="20"/>
  <c r="A87" i="21"/>
  <c r="J86" i="21"/>
  <c r="K86" i="21"/>
  <c r="L86" i="21"/>
  <c r="M86" i="21"/>
  <c r="I87" i="21"/>
  <c r="H88" i="21"/>
  <c r="B84" i="21"/>
  <c r="V218" i="20" l="1"/>
  <c r="U219" i="20"/>
  <c r="U220" i="20" s="1"/>
  <c r="U221" i="20" s="1"/>
  <c r="U222" i="20" s="1"/>
  <c r="U223" i="20" s="1"/>
  <c r="U224" i="20" s="1"/>
  <c r="U225" i="20" s="1"/>
  <c r="U226" i="20" s="1"/>
  <c r="U227" i="20" s="1"/>
  <c r="U228" i="20" s="1"/>
  <c r="U229" i="20" s="1"/>
  <c r="U230" i="20" s="1"/>
  <c r="U231" i="20" s="1"/>
  <c r="U232" i="20" s="1"/>
  <c r="U233" i="20" s="1"/>
  <c r="U234" i="20" s="1"/>
  <c r="U235" i="20" s="1"/>
  <c r="U236" i="20" s="1"/>
  <c r="U237" i="20" s="1"/>
  <c r="U238" i="20" s="1"/>
  <c r="U239" i="20" s="1"/>
  <c r="U240" i="20" s="1"/>
  <c r="U241" i="20" s="1"/>
  <c r="U242" i="20" s="1"/>
  <c r="U243" i="20" s="1"/>
  <c r="A88" i="21"/>
  <c r="J87" i="21"/>
  <c r="K87" i="21"/>
  <c r="L87" i="21"/>
  <c r="M87" i="21"/>
  <c r="I88" i="21"/>
  <c r="H89" i="21"/>
  <c r="F84" i="21"/>
  <c r="E84" i="21"/>
  <c r="D84" i="21"/>
  <c r="C84" i="21"/>
  <c r="F85" i="21"/>
  <c r="E85" i="21"/>
  <c r="D85" i="21"/>
  <c r="C85" i="21"/>
  <c r="V243" i="20" l="1"/>
  <c r="B87" i="21" s="1"/>
  <c r="U244" i="20"/>
  <c r="U245" i="20" s="1"/>
  <c r="U246" i="20" s="1"/>
  <c r="U247" i="20" s="1"/>
  <c r="U248" i="20" s="1"/>
  <c r="U249" i="20" s="1"/>
  <c r="U250" i="20" s="1"/>
  <c r="A89" i="21"/>
  <c r="J88" i="21"/>
  <c r="K88" i="21"/>
  <c r="L88" i="21"/>
  <c r="M88" i="21"/>
  <c r="I89" i="21"/>
  <c r="H90" i="21"/>
  <c r="B86" i="21"/>
  <c r="V250" i="20" l="1"/>
  <c r="U251" i="20"/>
  <c r="U252" i="20" s="1"/>
  <c r="U253" i="20" s="1"/>
  <c r="U254" i="20" s="1"/>
  <c r="A90" i="21"/>
  <c r="J89" i="21"/>
  <c r="K89" i="21"/>
  <c r="L89" i="21"/>
  <c r="M89" i="21"/>
  <c r="I90" i="21"/>
  <c r="H91" i="21"/>
  <c r="F86" i="21"/>
  <c r="E86" i="21"/>
  <c r="D86" i="21"/>
  <c r="C86" i="21"/>
  <c r="F87" i="21"/>
  <c r="E87" i="21"/>
  <c r="D87" i="21"/>
  <c r="C87" i="21"/>
  <c r="V254" i="20" l="1"/>
  <c r="B89" i="21" s="1"/>
  <c r="U255" i="20"/>
  <c r="A91" i="21"/>
  <c r="J90" i="21"/>
  <c r="K90" i="21"/>
  <c r="L90" i="21"/>
  <c r="M90" i="21"/>
  <c r="I91" i="21"/>
  <c r="H92" i="21"/>
  <c r="B88" i="21"/>
  <c r="V255" i="20" l="1"/>
  <c r="B90" i="21" s="1"/>
  <c r="C90" i="21" s="1"/>
  <c r="U256" i="20"/>
  <c r="A92" i="21"/>
  <c r="J91" i="21"/>
  <c r="K91" i="21"/>
  <c r="L91" i="21"/>
  <c r="M91" i="21"/>
  <c r="I92" i="21"/>
  <c r="H93" i="21"/>
  <c r="F88" i="21"/>
  <c r="E88" i="21"/>
  <c r="D88" i="21"/>
  <c r="C88" i="21"/>
  <c r="F89" i="21"/>
  <c r="E89" i="21"/>
  <c r="D89" i="21"/>
  <c r="C89" i="21"/>
  <c r="V256" i="20" l="1"/>
  <c r="U257" i="20"/>
  <c r="U258" i="20" s="1"/>
  <c r="U259" i="20" s="1"/>
  <c r="U260" i="20" s="1"/>
  <c r="U261" i="20" s="1"/>
  <c r="U262" i="20" s="1"/>
  <c r="U263" i="20" s="1"/>
  <c r="U264" i="20" s="1"/>
  <c r="U265" i="20" s="1"/>
  <c r="U266" i="20" s="1"/>
  <c r="U267" i="20" s="1"/>
  <c r="A93" i="21"/>
  <c r="J92" i="21"/>
  <c r="K92" i="21"/>
  <c r="L92" i="21"/>
  <c r="M92" i="21"/>
  <c r="I93" i="21"/>
  <c r="H94" i="21"/>
  <c r="D90" i="21"/>
  <c r="E90" i="21"/>
  <c r="F90" i="21"/>
  <c r="V267" i="20" l="1"/>
  <c r="B92" i="21" s="1"/>
  <c r="U268" i="20"/>
  <c r="U269" i="20" s="1"/>
  <c r="U270" i="20" s="1"/>
  <c r="U271" i="20" s="1"/>
  <c r="U272" i="20" s="1"/>
  <c r="U273" i="20" s="1"/>
  <c r="A94" i="21"/>
  <c r="J93" i="21"/>
  <c r="K93" i="21"/>
  <c r="L93" i="21"/>
  <c r="M93" i="21"/>
  <c r="I94" i="21"/>
  <c r="H95" i="21"/>
  <c r="B91" i="21"/>
  <c r="V273" i="20" l="1"/>
  <c r="B93" i="21" s="1"/>
  <c r="U274" i="20"/>
  <c r="U275" i="20" s="1"/>
  <c r="U276" i="20" s="1"/>
  <c r="U277" i="20" s="1"/>
  <c r="U278" i="20" s="1"/>
  <c r="U279" i="20" s="1"/>
  <c r="U280" i="20" s="1"/>
  <c r="U281" i="20" s="1"/>
  <c r="U282" i="20" s="1"/>
  <c r="U283" i="20" s="1"/>
  <c r="U284" i="20" s="1"/>
  <c r="U285" i="20" s="1"/>
  <c r="U286" i="20" s="1"/>
  <c r="U287" i="20" s="1"/>
  <c r="U288" i="20" s="1"/>
  <c r="U289" i="20" s="1"/>
  <c r="U290" i="20" s="1"/>
  <c r="U291" i="20" s="1"/>
  <c r="U292" i="20" s="1"/>
  <c r="U293" i="20" s="1"/>
  <c r="U294" i="20" s="1"/>
  <c r="U295" i="20" s="1"/>
  <c r="U296" i="20" s="1"/>
  <c r="A95" i="21"/>
  <c r="J94" i="21"/>
  <c r="K94" i="21"/>
  <c r="L94" i="21"/>
  <c r="M94" i="21"/>
  <c r="I95" i="21"/>
  <c r="H96" i="21"/>
  <c r="D91" i="21"/>
  <c r="F91" i="21"/>
  <c r="E91" i="21"/>
  <c r="C91" i="21"/>
  <c r="F92" i="21"/>
  <c r="E92" i="21"/>
  <c r="D92" i="21"/>
  <c r="C92" i="21"/>
  <c r="V296" i="20" l="1"/>
  <c r="B94" i="21" s="1"/>
  <c r="U297" i="20"/>
  <c r="A96" i="21"/>
  <c r="J95" i="21"/>
  <c r="K95" i="21"/>
  <c r="L95" i="21"/>
  <c r="M95" i="21"/>
  <c r="I96" i="21"/>
  <c r="H97" i="21"/>
  <c r="C93" i="21"/>
  <c r="D93" i="21"/>
  <c r="E93" i="21"/>
  <c r="F93" i="21"/>
  <c r="C94" i="21" l="1"/>
  <c r="D94" i="21"/>
  <c r="V297" i="20"/>
  <c r="B95" i="21" s="1"/>
  <c r="U298" i="20"/>
  <c r="U299" i="20" s="1"/>
  <c r="U300" i="20" s="1"/>
  <c r="U301" i="20" s="1"/>
  <c r="U302" i="20" s="1"/>
  <c r="U303" i="20" s="1"/>
  <c r="U304" i="20" s="1"/>
  <c r="U305" i="20" s="1"/>
  <c r="A97" i="21"/>
  <c r="J96" i="21"/>
  <c r="K96" i="21"/>
  <c r="L96" i="21"/>
  <c r="M96" i="21"/>
  <c r="I97" i="21"/>
  <c r="H98" i="21"/>
  <c r="E94" i="21"/>
  <c r="F94" i="21"/>
  <c r="V305" i="20" l="1"/>
  <c r="B96" i="21" s="1"/>
  <c r="U306" i="20"/>
  <c r="A98" i="21"/>
  <c r="J97" i="21"/>
  <c r="K97" i="21"/>
  <c r="L97" i="21"/>
  <c r="M97" i="21"/>
  <c r="I98" i="21"/>
  <c r="H99" i="21"/>
  <c r="C95" i="21"/>
  <c r="D95" i="21"/>
  <c r="E95" i="21"/>
  <c r="F95" i="21"/>
  <c r="C96" i="21" l="1"/>
  <c r="D96" i="21"/>
  <c r="E96" i="21"/>
  <c r="F96" i="21"/>
  <c r="V306" i="20"/>
  <c r="U307" i="20"/>
  <c r="A99" i="21"/>
  <c r="J98" i="21"/>
  <c r="K98" i="21"/>
  <c r="L98" i="21"/>
  <c r="M98" i="21"/>
  <c r="I99" i="21"/>
  <c r="H100" i="21"/>
  <c r="V307" i="20" l="1"/>
  <c r="B98" i="21" s="1"/>
  <c r="U308" i="20"/>
  <c r="U309" i="20" s="1"/>
  <c r="U310" i="20" s="1"/>
  <c r="A100" i="21"/>
  <c r="J99" i="21"/>
  <c r="K99" i="21"/>
  <c r="L99" i="21"/>
  <c r="M99" i="21"/>
  <c r="I100" i="21"/>
  <c r="H101" i="21"/>
  <c r="B97" i="21"/>
  <c r="V310" i="20" l="1"/>
  <c r="B99" i="21" s="1"/>
  <c r="U311" i="20"/>
  <c r="A101" i="21"/>
  <c r="J100" i="21"/>
  <c r="K100" i="21"/>
  <c r="L100" i="21"/>
  <c r="M100" i="21"/>
  <c r="I101" i="21"/>
  <c r="H102" i="21"/>
  <c r="F97" i="21"/>
  <c r="E97" i="21"/>
  <c r="D97" i="21"/>
  <c r="C97" i="21"/>
  <c r="F98" i="21"/>
  <c r="E98" i="21"/>
  <c r="D98" i="21"/>
  <c r="C98" i="21"/>
  <c r="V311" i="20" l="1"/>
  <c r="U312" i="20"/>
  <c r="A102" i="21"/>
  <c r="J101" i="21"/>
  <c r="K101" i="21"/>
  <c r="L101" i="21"/>
  <c r="M101" i="21"/>
  <c r="I102" i="21"/>
  <c r="H103" i="21"/>
  <c r="F99" i="21"/>
  <c r="C99" i="21"/>
  <c r="D99" i="21"/>
  <c r="E99" i="21"/>
  <c r="V312" i="20" l="1"/>
  <c r="U313" i="20"/>
  <c r="A103" i="21"/>
  <c r="J102" i="21"/>
  <c r="K102" i="21"/>
  <c r="L102" i="21"/>
  <c r="M102" i="21"/>
  <c r="I103" i="21"/>
  <c r="H104" i="21"/>
  <c r="B100" i="21"/>
  <c r="B101" i="21"/>
  <c r="V313" i="20" l="1"/>
  <c r="B102" i="21" s="1"/>
  <c r="U314" i="20"/>
  <c r="U315" i="20" s="1"/>
  <c r="A104" i="21"/>
  <c r="J103" i="21"/>
  <c r="K103" i="21"/>
  <c r="L103" i="21"/>
  <c r="M103" i="21"/>
  <c r="I104" i="21"/>
  <c r="H105" i="21"/>
  <c r="F100" i="21"/>
  <c r="E100" i="21"/>
  <c r="D100" i="21"/>
  <c r="C100" i="21"/>
  <c r="F101" i="21"/>
  <c r="E101" i="21"/>
  <c r="D101" i="21"/>
  <c r="C101" i="21"/>
  <c r="V315" i="20" l="1"/>
  <c r="B103" i="21" s="1"/>
  <c r="U316" i="20"/>
  <c r="A105" i="21"/>
  <c r="J104" i="21"/>
  <c r="K104" i="21"/>
  <c r="L104" i="21"/>
  <c r="M104" i="21"/>
  <c r="I105" i="21"/>
  <c r="H106" i="21"/>
  <c r="C102" i="21"/>
  <c r="D102" i="21"/>
  <c r="E102" i="21"/>
  <c r="F102" i="21"/>
  <c r="C103" i="21" l="1"/>
  <c r="D103" i="21"/>
  <c r="E103" i="21"/>
  <c r="F103" i="21"/>
  <c r="V316" i="20"/>
  <c r="U317" i="20"/>
  <c r="A106" i="21"/>
  <c r="J105" i="21"/>
  <c r="K105" i="21"/>
  <c r="L105" i="21"/>
  <c r="M105" i="21"/>
  <c r="I106" i="21"/>
  <c r="H107" i="21"/>
  <c r="V317" i="20" l="1"/>
  <c r="U318" i="20"/>
  <c r="U319" i="20" s="1"/>
  <c r="U320" i="20" s="1"/>
  <c r="A107" i="21"/>
  <c r="J106" i="21"/>
  <c r="K106" i="21"/>
  <c r="L106" i="21"/>
  <c r="M106" i="21"/>
  <c r="I107" i="21"/>
  <c r="H108" i="21"/>
  <c r="B104" i="21"/>
  <c r="B105" i="21"/>
  <c r="V320" i="20" l="1"/>
  <c r="B106" i="21" s="1"/>
  <c r="U321" i="20"/>
  <c r="A108" i="21"/>
  <c r="J107" i="21"/>
  <c r="K107" i="21"/>
  <c r="L107" i="21"/>
  <c r="M107" i="21"/>
  <c r="I108" i="21"/>
  <c r="H109" i="21"/>
  <c r="C104" i="21"/>
  <c r="F104" i="21"/>
  <c r="E104" i="21"/>
  <c r="D104" i="21"/>
  <c r="F105" i="21"/>
  <c r="E105" i="21"/>
  <c r="D105" i="21"/>
  <c r="C105" i="21"/>
  <c r="F106" i="21" l="1"/>
  <c r="C106" i="21"/>
  <c r="D106" i="21"/>
  <c r="E106" i="21"/>
  <c r="V321" i="20"/>
  <c r="B107" i="21" s="1"/>
  <c r="U322" i="20"/>
  <c r="U323" i="20" s="1"/>
  <c r="U324" i="20" s="1"/>
  <c r="U325" i="20" s="1"/>
  <c r="U326" i="20" s="1"/>
  <c r="U327" i="20" s="1"/>
  <c r="U328" i="20" s="1"/>
  <c r="A109" i="21"/>
  <c r="J108" i="21"/>
  <c r="K108" i="21"/>
  <c r="L108" i="21"/>
  <c r="M108" i="21"/>
  <c r="I109" i="21"/>
  <c r="H110" i="21"/>
  <c r="V328" i="20" l="1"/>
  <c r="B108" i="21" s="1"/>
  <c r="U329" i="20"/>
  <c r="A110" i="21"/>
  <c r="J109" i="21"/>
  <c r="K109" i="21"/>
  <c r="L109" i="21"/>
  <c r="M109" i="21"/>
  <c r="I110" i="21"/>
  <c r="H111" i="21"/>
  <c r="C107" i="21"/>
  <c r="D107" i="21"/>
  <c r="E107" i="21"/>
  <c r="F107" i="21"/>
  <c r="C108" i="21" l="1"/>
  <c r="D108" i="21"/>
  <c r="E108" i="21"/>
  <c r="F108" i="21"/>
  <c r="V329" i="20"/>
  <c r="B109" i="21" s="1"/>
  <c r="C109" i="21" s="1"/>
  <c r="U330" i="20"/>
  <c r="A111" i="21"/>
  <c r="J110" i="21"/>
  <c r="K110" i="21"/>
  <c r="L110" i="21"/>
  <c r="M110" i="21"/>
  <c r="I111" i="21"/>
  <c r="H112" i="21"/>
  <c r="V330" i="20" l="1"/>
  <c r="B110" i="21" s="1"/>
  <c r="U331" i="20"/>
  <c r="A112" i="21"/>
  <c r="J111" i="21"/>
  <c r="K111" i="21"/>
  <c r="L111" i="21"/>
  <c r="M111" i="21"/>
  <c r="I112" i="21"/>
  <c r="H113" i="21"/>
  <c r="D109" i="21"/>
  <c r="E109" i="21"/>
  <c r="F109" i="21"/>
  <c r="C110" i="21" l="1"/>
  <c r="D110" i="21"/>
  <c r="E110" i="21"/>
  <c r="F110" i="21"/>
  <c r="V331" i="20"/>
  <c r="U332" i="20"/>
  <c r="U333" i="20" s="1"/>
  <c r="A113" i="21"/>
  <c r="J112" i="21"/>
  <c r="K112" i="21"/>
  <c r="L112" i="21"/>
  <c r="M112" i="21"/>
  <c r="I113" i="21"/>
  <c r="H114" i="21"/>
  <c r="B111" i="21" l="1"/>
  <c r="B112" i="21"/>
  <c r="B113" i="21"/>
  <c r="A114" i="21"/>
  <c r="J113" i="21"/>
  <c r="K113" i="21"/>
  <c r="L113" i="21"/>
  <c r="M113" i="21"/>
  <c r="I114" i="21"/>
  <c r="H115" i="21"/>
  <c r="D111" i="21" l="1"/>
  <c r="F111" i="21"/>
  <c r="C111" i="21"/>
  <c r="E111" i="21"/>
  <c r="D112" i="21"/>
  <c r="E112" i="21"/>
  <c r="F112" i="21"/>
  <c r="C112" i="21"/>
  <c r="C113" i="21"/>
  <c r="D113" i="21"/>
  <c r="E113" i="21"/>
  <c r="F113" i="21"/>
  <c r="B114" i="21"/>
  <c r="A115" i="21"/>
  <c r="J114" i="21"/>
  <c r="K114" i="21"/>
  <c r="L114" i="21"/>
  <c r="M114" i="21"/>
  <c r="I115" i="21"/>
  <c r="H116" i="21"/>
  <c r="C114" i="21" l="1"/>
  <c r="D114" i="21"/>
  <c r="E114" i="21"/>
  <c r="F114" i="21"/>
  <c r="B115" i="21"/>
  <c r="A116" i="21"/>
  <c r="J115" i="21"/>
  <c r="K115" i="21"/>
  <c r="L115" i="21"/>
  <c r="M115" i="21"/>
  <c r="I116" i="21"/>
  <c r="H117" i="21"/>
  <c r="C115" i="21" l="1"/>
  <c r="D115" i="21"/>
  <c r="E115" i="21"/>
  <c r="F115" i="21"/>
  <c r="B116" i="21"/>
  <c r="A117" i="21"/>
  <c r="J116" i="21"/>
  <c r="K116" i="21"/>
  <c r="L116" i="21"/>
  <c r="M116" i="21"/>
  <c r="I117" i="21"/>
  <c r="H118" i="21"/>
  <c r="C116" i="21" l="1"/>
  <c r="D116" i="21"/>
  <c r="E116" i="21"/>
  <c r="F116" i="21"/>
  <c r="B117" i="21"/>
  <c r="A118" i="21"/>
  <c r="J117" i="21"/>
  <c r="K117" i="21"/>
  <c r="L117" i="21"/>
  <c r="M117" i="21"/>
  <c r="I118" i="21"/>
  <c r="H119" i="21"/>
  <c r="C117" i="21" l="1"/>
  <c r="D117" i="21"/>
  <c r="E117" i="21"/>
  <c r="F117" i="21"/>
  <c r="B118" i="21"/>
  <c r="A119" i="21"/>
  <c r="J118" i="21"/>
  <c r="K118" i="21"/>
  <c r="L118" i="21"/>
  <c r="M118" i="21"/>
  <c r="I119" i="21"/>
  <c r="H120" i="21"/>
  <c r="C118" i="21" l="1"/>
  <c r="D118" i="21"/>
  <c r="E118" i="21"/>
  <c r="F118" i="21"/>
  <c r="B119" i="21"/>
  <c r="A120" i="21"/>
  <c r="J119" i="21"/>
  <c r="K119" i="21"/>
  <c r="L119" i="21"/>
  <c r="M119" i="21"/>
  <c r="I120" i="21"/>
  <c r="H121" i="21"/>
  <c r="C119" i="21" l="1"/>
  <c r="D119" i="21"/>
  <c r="E119" i="21"/>
  <c r="F119" i="21"/>
  <c r="B120" i="21"/>
  <c r="A121" i="21"/>
  <c r="J120" i="21"/>
  <c r="K120" i="21"/>
  <c r="L120" i="21"/>
  <c r="M120" i="21"/>
  <c r="I121" i="21"/>
  <c r="H122" i="21"/>
  <c r="C120" i="21" l="1"/>
  <c r="D120" i="21"/>
  <c r="E120" i="21"/>
  <c r="F120" i="21"/>
  <c r="B121" i="21"/>
  <c r="A122" i="21"/>
  <c r="J121" i="21"/>
  <c r="K121" i="21"/>
  <c r="L121" i="21"/>
  <c r="M121" i="21"/>
  <c r="I122" i="21"/>
  <c r="H123" i="21"/>
  <c r="C121" i="21" l="1"/>
  <c r="D121" i="21"/>
  <c r="E121" i="21"/>
  <c r="F121" i="21"/>
  <c r="B122" i="21"/>
  <c r="A123" i="21"/>
  <c r="J122" i="21"/>
  <c r="K122" i="21"/>
  <c r="L122" i="21"/>
  <c r="M122" i="21"/>
  <c r="I123" i="21"/>
  <c r="H124" i="21"/>
  <c r="C122" i="21" l="1"/>
  <c r="D122" i="21"/>
  <c r="E122" i="21"/>
  <c r="F122" i="21"/>
  <c r="B123" i="21"/>
  <c r="A124" i="21"/>
  <c r="J123" i="21"/>
  <c r="K123" i="21"/>
  <c r="L123" i="21"/>
  <c r="M123" i="21"/>
  <c r="I124" i="21"/>
  <c r="H125" i="21"/>
  <c r="C123" i="21" l="1"/>
  <c r="D123" i="21"/>
  <c r="E123" i="21"/>
  <c r="F123" i="21"/>
  <c r="B124" i="21"/>
  <c r="A125" i="21"/>
  <c r="J124" i="21"/>
  <c r="K124" i="21"/>
  <c r="L124" i="21"/>
  <c r="M124" i="21"/>
  <c r="I125" i="21"/>
  <c r="H126" i="21"/>
  <c r="C124" i="21" l="1"/>
  <c r="D124" i="21"/>
  <c r="E124" i="21"/>
  <c r="F124" i="21"/>
  <c r="B125" i="21"/>
  <c r="A126" i="21"/>
  <c r="J125" i="21"/>
  <c r="K125" i="21"/>
  <c r="L125" i="21"/>
  <c r="M125" i="21"/>
  <c r="I126" i="21"/>
  <c r="H127" i="21"/>
  <c r="C125" i="21" l="1"/>
  <c r="D125" i="21"/>
  <c r="E125" i="21"/>
  <c r="F125" i="21"/>
  <c r="B126" i="21"/>
  <c r="A127" i="21"/>
  <c r="J126" i="21"/>
  <c r="K126" i="21"/>
  <c r="L126" i="21"/>
  <c r="M126" i="21"/>
  <c r="I127" i="21"/>
  <c r="H128" i="21"/>
  <c r="C126" i="21" l="1"/>
  <c r="D126" i="21"/>
  <c r="E126" i="21"/>
  <c r="F126" i="21"/>
  <c r="B127" i="21"/>
  <c r="A128" i="21"/>
  <c r="J127" i="21"/>
  <c r="K127" i="21"/>
  <c r="L127" i="21"/>
  <c r="M127" i="21"/>
  <c r="I128" i="21"/>
  <c r="H129" i="21"/>
  <c r="C127" i="21" l="1"/>
  <c r="D127" i="21"/>
  <c r="E127" i="21"/>
  <c r="F127" i="21"/>
  <c r="B128" i="21"/>
  <c r="A129" i="21"/>
  <c r="J128" i="21"/>
  <c r="K128" i="21"/>
  <c r="L128" i="21"/>
  <c r="M128" i="21"/>
  <c r="I129" i="21"/>
  <c r="H130" i="21"/>
  <c r="C128" i="21" l="1"/>
  <c r="D128" i="21"/>
  <c r="E128" i="21"/>
  <c r="F128" i="21"/>
  <c r="B129" i="21"/>
  <c r="A130" i="21"/>
  <c r="J129" i="21"/>
  <c r="K129" i="21"/>
  <c r="L129" i="21"/>
  <c r="M129" i="21"/>
  <c r="I130" i="21"/>
  <c r="H131" i="21"/>
  <c r="C129" i="21" l="1"/>
  <c r="D129" i="21"/>
  <c r="E129" i="21"/>
  <c r="F129" i="21"/>
  <c r="B130" i="21"/>
  <c r="A131" i="21"/>
  <c r="J130" i="21"/>
  <c r="K130" i="21"/>
  <c r="L130" i="21"/>
  <c r="M130" i="21"/>
  <c r="I131" i="21"/>
  <c r="H132" i="21"/>
  <c r="C130" i="21" l="1"/>
  <c r="D130" i="21"/>
  <c r="E130" i="21"/>
  <c r="F130" i="21"/>
  <c r="B131" i="21"/>
  <c r="A132" i="21"/>
  <c r="J131" i="21"/>
  <c r="K131" i="21"/>
  <c r="L131" i="21"/>
  <c r="M131" i="21"/>
  <c r="I132" i="21"/>
  <c r="H133" i="21"/>
  <c r="C131" i="21" l="1"/>
  <c r="D131" i="21"/>
  <c r="E131" i="21"/>
  <c r="F131" i="21"/>
  <c r="B132" i="21"/>
  <c r="A133" i="21"/>
  <c r="J132" i="21"/>
  <c r="K132" i="21"/>
  <c r="L132" i="21"/>
  <c r="M132" i="21"/>
  <c r="I133" i="21"/>
  <c r="H134" i="21"/>
  <c r="C132" i="21" l="1"/>
  <c r="D132" i="21"/>
  <c r="E132" i="21"/>
  <c r="F132" i="21"/>
  <c r="B133" i="21"/>
  <c r="A134" i="21"/>
  <c r="J133" i="21"/>
  <c r="K133" i="21"/>
  <c r="L133" i="21"/>
  <c r="M133" i="21"/>
  <c r="I134" i="21"/>
  <c r="H135" i="21"/>
  <c r="C133" i="21" l="1"/>
  <c r="D133" i="21"/>
  <c r="E133" i="21"/>
  <c r="F133" i="21"/>
  <c r="B134" i="21"/>
  <c r="A135" i="21"/>
  <c r="J134" i="21"/>
  <c r="K134" i="21"/>
  <c r="L134" i="21"/>
  <c r="M134" i="21"/>
  <c r="I135" i="21"/>
  <c r="H136" i="21"/>
  <c r="C134" i="21" l="1"/>
  <c r="D134" i="21"/>
  <c r="E134" i="21"/>
  <c r="F134" i="21"/>
  <c r="B135" i="21"/>
  <c r="A136" i="21"/>
  <c r="J135" i="21"/>
  <c r="K135" i="21"/>
  <c r="L135" i="21"/>
  <c r="M135" i="21"/>
  <c r="I136" i="21"/>
  <c r="H137" i="21"/>
  <c r="C135" i="21" l="1"/>
  <c r="D135" i="21"/>
  <c r="E135" i="21"/>
  <c r="F135" i="21"/>
  <c r="B136" i="21"/>
  <c r="A137" i="21"/>
  <c r="J136" i="21"/>
  <c r="K136" i="21"/>
  <c r="L136" i="21"/>
  <c r="M136" i="21"/>
  <c r="I137" i="21"/>
  <c r="H138" i="21"/>
  <c r="C136" i="21" l="1"/>
  <c r="D136" i="21"/>
  <c r="E136" i="21"/>
  <c r="F136" i="21"/>
  <c r="B137" i="21"/>
  <c r="A138" i="21"/>
  <c r="J137" i="21"/>
  <c r="K137" i="21"/>
  <c r="L137" i="21"/>
  <c r="M137" i="21"/>
  <c r="I138" i="21"/>
  <c r="H139" i="21"/>
  <c r="C137" i="21" l="1"/>
  <c r="D137" i="21"/>
  <c r="E137" i="21"/>
  <c r="F137" i="21"/>
  <c r="B138" i="21"/>
  <c r="A139" i="21"/>
  <c r="J138" i="21"/>
  <c r="K138" i="21"/>
  <c r="L138" i="21"/>
  <c r="M138" i="21"/>
  <c r="I139" i="21"/>
  <c r="H140" i="21"/>
  <c r="C138" i="21" l="1"/>
  <c r="D138" i="21"/>
  <c r="E138" i="21"/>
  <c r="F138" i="21"/>
  <c r="B139" i="21"/>
  <c r="A140" i="21"/>
  <c r="J139" i="21"/>
  <c r="K139" i="21"/>
  <c r="L139" i="21"/>
  <c r="M139" i="21"/>
  <c r="I140" i="21"/>
  <c r="H141" i="21"/>
  <c r="C139" i="21" l="1"/>
  <c r="D139" i="21"/>
  <c r="E139" i="21"/>
  <c r="F139" i="21"/>
  <c r="B140" i="21"/>
  <c r="A141" i="21"/>
  <c r="J140" i="21"/>
  <c r="K140" i="21"/>
  <c r="L140" i="21"/>
  <c r="M140" i="21"/>
  <c r="I141" i="21"/>
  <c r="H142" i="21"/>
  <c r="C140" i="21" l="1"/>
  <c r="D140" i="21"/>
  <c r="E140" i="21"/>
  <c r="F140" i="21"/>
  <c r="B141" i="21"/>
  <c r="A142" i="21"/>
  <c r="J141" i="21"/>
  <c r="K141" i="21"/>
  <c r="L141" i="21"/>
  <c r="M141" i="21"/>
  <c r="I142" i="21"/>
  <c r="H143" i="21"/>
  <c r="C141" i="21" l="1"/>
  <c r="D141" i="21"/>
  <c r="E141" i="21"/>
  <c r="F141" i="21"/>
  <c r="B142" i="21"/>
  <c r="A143" i="21"/>
  <c r="J142" i="21"/>
  <c r="K142" i="21"/>
  <c r="L142" i="21"/>
  <c r="M142" i="21"/>
  <c r="I143" i="21"/>
  <c r="H144" i="21"/>
  <c r="C142" i="21" l="1"/>
  <c r="D142" i="21"/>
  <c r="E142" i="21"/>
  <c r="F142" i="21"/>
  <c r="B143" i="21"/>
  <c r="A144" i="21"/>
  <c r="J143" i="21"/>
  <c r="K143" i="21"/>
  <c r="L143" i="21"/>
  <c r="M143" i="21"/>
  <c r="I144" i="21"/>
  <c r="H145" i="21"/>
  <c r="C143" i="21" l="1"/>
  <c r="D143" i="21"/>
  <c r="E143" i="21"/>
  <c r="F143" i="21"/>
  <c r="B144" i="21"/>
  <c r="A145" i="21"/>
  <c r="J144" i="21"/>
  <c r="K144" i="21"/>
  <c r="L144" i="21"/>
  <c r="M144" i="21"/>
  <c r="I145" i="21"/>
  <c r="H146" i="21"/>
  <c r="C144" i="21" l="1"/>
  <c r="D144" i="21"/>
  <c r="E144" i="21"/>
  <c r="F144" i="21"/>
  <c r="B145" i="21"/>
  <c r="A146" i="21"/>
  <c r="J145" i="21"/>
  <c r="K145" i="21"/>
  <c r="L145" i="21"/>
  <c r="M145" i="21"/>
  <c r="I146" i="21"/>
  <c r="H147" i="21"/>
  <c r="C145" i="21" l="1"/>
  <c r="D145" i="21"/>
  <c r="E145" i="21"/>
  <c r="F145" i="21"/>
  <c r="B146" i="21"/>
  <c r="A147" i="21"/>
  <c r="J146" i="21"/>
  <c r="K146" i="21"/>
  <c r="L146" i="21"/>
  <c r="M146" i="21"/>
  <c r="I147" i="21"/>
  <c r="H148" i="21"/>
  <c r="C146" i="21" l="1"/>
  <c r="D146" i="21"/>
  <c r="E146" i="21"/>
  <c r="F146" i="21"/>
  <c r="B147" i="21"/>
  <c r="A148" i="21"/>
  <c r="J147" i="21"/>
  <c r="K147" i="21"/>
  <c r="L147" i="21"/>
  <c r="M147" i="21"/>
  <c r="I148" i="21"/>
  <c r="H149" i="21"/>
  <c r="C147" i="21" l="1"/>
  <c r="D147" i="21"/>
  <c r="E147" i="21"/>
  <c r="F147" i="21"/>
  <c r="B148" i="21"/>
  <c r="A149" i="21"/>
  <c r="J148" i="21"/>
  <c r="K148" i="21"/>
  <c r="L148" i="21"/>
  <c r="M148" i="21"/>
  <c r="I149" i="21"/>
  <c r="H150" i="21"/>
  <c r="C148" i="21" l="1"/>
  <c r="D148" i="21"/>
  <c r="E148" i="21"/>
  <c r="F148" i="21"/>
  <c r="B149" i="21"/>
  <c r="A150" i="21"/>
  <c r="J149" i="21"/>
  <c r="K149" i="21"/>
  <c r="L149" i="21"/>
  <c r="M149" i="21"/>
  <c r="I150" i="21"/>
  <c r="H151" i="21"/>
  <c r="C149" i="21" l="1"/>
  <c r="D149" i="21"/>
  <c r="E149" i="21"/>
  <c r="F149" i="21"/>
  <c r="B150" i="21"/>
  <c r="A151" i="21"/>
  <c r="J150" i="21"/>
  <c r="K150" i="21"/>
  <c r="L150" i="21"/>
  <c r="M150" i="21"/>
  <c r="I151" i="21"/>
  <c r="H152" i="21"/>
  <c r="C150" i="21" l="1"/>
  <c r="D150" i="21"/>
  <c r="E150" i="21"/>
  <c r="F150" i="21"/>
  <c r="B151" i="21"/>
  <c r="A152" i="21"/>
  <c r="J151" i="21"/>
  <c r="K151" i="21"/>
  <c r="L151" i="21"/>
  <c r="M151" i="21"/>
  <c r="I152" i="21"/>
  <c r="H153" i="21"/>
  <c r="C151" i="21" l="1"/>
  <c r="D151" i="21"/>
  <c r="E151" i="21"/>
  <c r="F151" i="21"/>
  <c r="B152" i="21"/>
  <c r="A153" i="21"/>
  <c r="J152" i="21"/>
  <c r="K152" i="21"/>
  <c r="L152" i="21"/>
  <c r="M152" i="21"/>
  <c r="I153" i="21"/>
  <c r="H154" i="21"/>
  <c r="C152" i="21" l="1"/>
  <c r="D152" i="21"/>
  <c r="E152" i="21"/>
  <c r="F152" i="21"/>
  <c r="B153" i="21"/>
  <c r="A154" i="21"/>
  <c r="J153" i="21"/>
  <c r="K153" i="21"/>
  <c r="L153" i="21"/>
  <c r="M153" i="21"/>
  <c r="I154" i="21"/>
  <c r="H155" i="21"/>
  <c r="C153" i="21" l="1"/>
  <c r="D153" i="21"/>
  <c r="E153" i="21"/>
  <c r="F153" i="21"/>
  <c r="B154" i="21"/>
  <c r="A155" i="21"/>
  <c r="J154" i="21"/>
  <c r="K154" i="21"/>
  <c r="L154" i="21"/>
  <c r="M154" i="21"/>
  <c r="I155" i="21"/>
  <c r="H156" i="21"/>
  <c r="C154" i="21" l="1"/>
  <c r="D154" i="21"/>
  <c r="E154" i="21"/>
  <c r="F154" i="21"/>
  <c r="B155" i="21"/>
  <c r="A156" i="21"/>
  <c r="J155" i="21"/>
  <c r="K155" i="21"/>
  <c r="L155" i="21"/>
  <c r="M155" i="21"/>
  <c r="I156" i="21"/>
  <c r="H157" i="21"/>
  <c r="C155" i="21" l="1"/>
  <c r="D155" i="21"/>
  <c r="E155" i="21"/>
  <c r="F155" i="21"/>
  <c r="B156" i="21"/>
  <c r="A157" i="21"/>
  <c r="J156" i="21"/>
  <c r="K156" i="21"/>
  <c r="L156" i="21"/>
  <c r="M156" i="21"/>
  <c r="I157" i="21"/>
  <c r="H158" i="21"/>
  <c r="C156" i="21" l="1"/>
  <c r="D156" i="21"/>
  <c r="E156" i="21"/>
  <c r="F156" i="21"/>
  <c r="B157" i="21"/>
  <c r="A158" i="21"/>
  <c r="J157" i="21"/>
  <c r="K157" i="21"/>
  <c r="L157" i="21"/>
  <c r="M157" i="21"/>
  <c r="I158" i="21"/>
  <c r="H159" i="21"/>
  <c r="C157" i="21" l="1"/>
  <c r="D157" i="21"/>
  <c r="E157" i="21"/>
  <c r="F157" i="21"/>
  <c r="B158" i="21"/>
  <c r="A159" i="21"/>
  <c r="J158" i="21"/>
  <c r="K158" i="21"/>
  <c r="L158" i="21"/>
  <c r="M158" i="21"/>
  <c r="I159" i="21"/>
  <c r="H160" i="21"/>
  <c r="C158" i="21" l="1"/>
  <c r="D158" i="21"/>
  <c r="E158" i="21"/>
  <c r="F158" i="21"/>
  <c r="B159" i="21"/>
  <c r="A160" i="21"/>
  <c r="J159" i="21"/>
  <c r="K159" i="21"/>
  <c r="L159" i="21"/>
  <c r="M159" i="21"/>
  <c r="I160" i="21"/>
  <c r="H161" i="21"/>
  <c r="C159" i="21" l="1"/>
  <c r="D159" i="21"/>
  <c r="E159" i="21"/>
  <c r="F159" i="21"/>
  <c r="B160" i="21"/>
  <c r="A161" i="21"/>
  <c r="J160" i="21"/>
  <c r="K160" i="21"/>
  <c r="L160" i="21"/>
  <c r="M160" i="21"/>
  <c r="I161" i="21"/>
  <c r="H162" i="21"/>
  <c r="C160" i="21" l="1"/>
  <c r="D160" i="21"/>
  <c r="E160" i="21"/>
  <c r="F160" i="21"/>
  <c r="B161" i="21"/>
  <c r="A162" i="21"/>
  <c r="J161" i="21"/>
  <c r="K161" i="21"/>
  <c r="L161" i="21"/>
  <c r="M161" i="21"/>
  <c r="I162" i="21"/>
  <c r="H163" i="21"/>
  <c r="C161" i="21" l="1"/>
  <c r="D161" i="21"/>
  <c r="E161" i="21"/>
  <c r="F161" i="21"/>
  <c r="B162" i="21"/>
  <c r="A163" i="21"/>
  <c r="J162" i="21"/>
  <c r="K162" i="21"/>
  <c r="L162" i="21"/>
  <c r="M162" i="21"/>
  <c r="I163" i="21"/>
  <c r="H164" i="21"/>
  <c r="C162" i="21" l="1"/>
  <c r="D162" i="21"/>
  <c r="E162" i="21"/>
  <c r="F162" i="21"/>
  <c r="B163" i="21"/>
  <c r="A164" i="21"/>
  <c r="J163" i="21"/>
  <c r="K163" i="21"/>
  <c r="L163" i="21"/>
  <c r="M163" i="21"/>
  <c r="I164" i="21"/>
  <c r="H165" i="21"/>
  <c r="C163" i="21" l="1"/>
  <c r="D163" i="21"/>
  <c r="E163" i="21"/>
  <c r="F163" i="21"/>
  <c r="B164" i="21"/>
  <c r="A165" i="21"/>
  <c r="J164" i="21"/>
  <c r="K164" i="21"/>
  <c r="L164" i="21"/>
  <c r="M164" i="21"/>
  <c r="I165" i="21"/>
  <c r="H166" i="21"/>
  <c r="C164" i="21" l="1"/>
  <c r="D164" i="21"/>
  <c r="E164" i="21"/>
  <c r="F164" i="21"/>
  <c r="B165" i="21"/>
  <c r="A166" i="21"/>
  <c r="J165" i="21"/>
  <c r="K165" i="21"/>
  <c r="L165" i="21"/>
  <c r="M165" i="21"/>
  <c r="I166" i="21"/>
  <c r="H167" i="21"/>
  <c r="C165" i="21" l="1"/>
  <c r="D165" i="21"/>
  <c r="E165" i="21"/>
  <c r="F165" i="21"/>
  <c r="B166" i="21"/>
  <c r="A167" i="21"/>
  <c r="J166" i="21"/>
  <c r="K166" i="21"/>
  <c r="L166" i="21"/>
  <c r="M166" i="21"/>
  <c r="I167" i="21"/>
  <c r="H168" i="21"/>
  <c r="C166" i="21" l="1"/>
  <c r="D166" i="21"/>
  <c r="E166" i="21"/>
  <c r="F166" i="21"/>
  <c r="B167" i="21"/>
  <c r="A168" i="21"/>
  <c r="J167" i="21"/>
  <c r="K167" i="21"/>
  <c r="L167" i="21"/>
  <c r="M167" i="21"/>
  <c r="I168" i="21"/>
  <c r="H169" i="21"/>
  <c r="C167" i="21" l="1"/>
  <c r="D167" i="21"/>
  <c r="E167" i="21"/>
  <c r="F167" i="21"/>
  <c r="B168" i="21"/>
  <c r="A169" i="21"/>
  <c r="J168" i="21"/>
  <c r="K168" i="21"/>
  <c r="L168" i="21"/>
  <c r="M168" i="21"/>
  <c r="I169" i="21"/>
  <c r="H170" i="21"/>
  <c r="C168" i="21" l="1"/>
  <c r="D168" i="21"/>
  <c r="E168" i="21"/>
  <c r="F168" i="21"/>
  <c r="B169" i="21"/>
  <c r="A170" i="21"/>
  <c r="J169" i="21"/>
  <c r="K169" i="21"/>
  <c r="L169" i="21"/>
  <c r="M169" i="21"/>
  <c r="I170" i="21"/>
  <c r="H171" i="21"/>
  <c r="C169" i="21" l="1"/>
  <c r="D169" i="21"/>
  <c r="E169" i="21"/>
  <c r="F169" i="21"/>
  <c r="B170" i="21"/>
  <c r="A171" i="21"/>
  <c r="J170" i="21"/>
  <c r="K170" i="21"/>
  <c r="L170" i="21"/>
  <c r="M170" i="21"/>
  <c r="I171" i="21"/>
  <c r="H172" i="21"/>
  <c r="C170" i="21" l="1"/>
  <c r="D170" i="21"/>
  <c r="E170" i="21"/>
  <c r="F170" i="21"/>
  <c r="B171" i="21"/>
  <c r="A172" i="21"/>
  <c r="J171" i="21"/>
  <c r="K171" i="21"/>
  <c r="L171" i="21"/>
  <c r="M171" i="21"/>
  <c r="I172" i="21"/>
  <c r="H173" i="21"/>
  <c r="C171" i="21" l="1"/>
  <c r="D171" i="21"/>
  <c r="E171" i="21"/>
  <c r="F171" i="21"/>
  <c r="B172" i="21"/>
  <c r="A173" i="21"/>
  <c r="J172" i="21"/>
  <c r="K172" i="21"/>
  <c r="L172" i="21"/>
  <c r="M172" i="21"/>
  <c r="I173" i="21"/>
  <c r="H174" i="21"/>
  <c r="C172" i="21" l="1"/>
  <c r="D172" i="21"/>
  <c r="E172" i="21"/>
  <c r="F172" i="21"/>
  <c r="B173" i="21"/>
  <c r="A174" i="21"/>
  <c r="J173" i="21"/>
  <c r="K173" i="21"/>
  <c r="L173" i="21"/>
  <c r="M173" i="21"/>
  <c r="I174" i="21"/>
  <c r="H175" i="21"/>
  <c r="C173" i="21" l="1"/>
  <c r="D173" i="21"/>
  <c r="E173" i="21"/>
  <c r="F173" i="21"/>
  <c r="B174" i="21"/>
  <c r="A175" i="21"/>
  <c r="J174" i="21"/>
  <c r="K174" i="21"/>
  <c r="L174" i="21"/>
  <c r="M174" i="21"/>
  <c r="I175" i="21"/>
  <c r="H176" i="21"/>
  <c r="C174" i="21" l="1"/>
  <c r="D174" i="21"/>
  <c r="E174" i="21"/>
  <c r="F174" i="21"/>
  <c r="B175" i="21"/>
  <c r="A176" i="21"/>
  <c r="J175" i="21"/>
  <c r="K175" i="21"/>
  <c r="L175" i="21"/>
  <c r="M175" i="21"/>
  <c r="I176" i="21"/>
  <c r="H177" i="21"/>
  <c r="C175" i="21" l="1"/>
  <c r="D175" i="21"/>
  <c r="E175" i="21"/>
  <c r="F175" i="21"/>
  <c r="B176" i="21"/>
  <c r="A177" i="21"/>
  <c r="J176" i="21"/>
  <c r="K176" i="21"/>
  <c r="L176" i="21"/>
  <c r="M176" i="21"/>
  <c r="I177" i="21"/>
  <c r="H178" i="21"/>
  <c r="C176" i="21" l="1"/>
  <c r="D176" i="21"/>
  <c r="E176" i="21"/>
  <c r="F176" i="21"/>
  <c r="B177" i="21"/>
  <c r="A178" i="21"/>
  <c r="J177" i="21"/>
  <c r="K177" i="21"/>
  <c r="L177" i="21"/>
  <c r="M177" i="21"/>
  <c r="I178" i="21"/>
  <c r="H179" i="21"/>
  <c r="C177" i="21" l="1"/>
  <c r="D177" i="21"/>
  <c r="E177" i="21"/>
  <c r="F177" i="21"/>
  <c r="B178" i="21"/>
  <c r="A179" i="21"/>
  <c r="J178" i="21"/>
  <c r="K178" i="21"/>
  <c r="L178" i="21"/>
  <c r="M178" i="21"/>
  <c r="I179" i="21"/>
  <c r="H180" i="21"/>
  <c r="C178" i="21" l="1"/>
  <c r="D178" i="21"/>
  <c r="E178" i="21"/>
  <c r="F178" i="21"/>
  <c r="B179" i="21"/>
  <c r="A180" i="21"/>
  <c r="J179" i="21"/>
  <c r="K179" i="21"/>
  <c r="L179" i="21"/>
  <c r="M179" i="21"/>
  <c r="I180" i="21"/>
  <c r="H181" i="21"/>
  <c r="C179" i="21" l="1"/>
  <c r="D179" i="21"/>
  <c r="E179" i="21"/>
  <c r="F179" i="21"/>
  <c r="B180" i="21"/>
  <c r="A181" i="21"/>
  <c r="J180" i="21"/>
  <c r="K180" i="21"/>
  <c r="L180" i="21"/>
  <c r="M180" i="21"/>
  <c r="I181" i="21"/>
  <c r="H182" i="21"/>
  <c r="C180" i="21" l="1"/>
  <c r="D180" i="21"/>
  <c r="E180" i="21"/>
  <c r="F180" i="21"/>
  <c r="B181" i="21"/>
  <c r="A182" i="21"/>
  <c r="J181" i="21"/>
  <c r="K181" i="21"/>
  <c r="L181" i="21"/>
  <c r="M181" i="21"/>
  <c r="I182" i="21"/>
  <c r="H183" i="21"/>
  <c r="C181" i="21" l="1"/>
  <c r="D181" i="21"/>
  <c r="E181" i="21"/>
  <c r="F181" i="21"/>
  <c r="B182" i="21"/>
  <c r="A183" i="21"/>
  <c r="J182" i="21"/>
  <c r="K182" i="21"/>
  <c r="L182" i="21"/>
  <c r="M182" i="21"/>
  <c r="I183" i="21"/>
  <c r="H184" i="21"/>
  <c r="C182" i="21" l="1"/>
  <c r="D182" i="21"/>
  <c r="E182" i="21"/>
  <c r="F182" i="21"/>
  <c r="B183" i="21"/>
  <c r="A184" i="21"/>
  <c r="J183" i="21"/>
  <c r="K183" i="21"/>
  <c r="L183" i="21"/>
  <c r="M183" i="21"/>
  <c r="I184" i="21"/>
  <c r="H185" i="21"/>
  <c r="C183" i="21" l="1"/>
  <c r="D183" i="21"/>
  <c r="E183" i="21"/>
  <c r="F183" i="21"/>
  <c r="B184" i="21"/>
  <c r="A185" i="21"/>
  <c r="J184" i="21"/>
  <c r="K184" i="21"/>
  <c r="L184" i="21"/>
  <c r="M184" i="21"/>
  <c r="I185" i="21"/>
  <c r="H186" i="21"/>
  <c r="C184" i="21" l="1"/>
  <c r="D184" i="21"/>
  <c r="E184" i="21"/>
  <c r="F184" i="21"/>
  <c r="B185" i="21"/>
  <c r="A186" i="21"/>
  <c r="J185" i="21"/>
  <c r="K185" i="21"/>
  <c r="L185" i="21"/>
  <c r="M185" i="21"/>
  <c r="I186" i="21"/>
  <c r="H187" i="21"/>
  <c r="C185" i="21" l="1"/>
  <c r="D185" i="21"/>
  <c r="E185" i="21"/>
  <c r="F185" i="21"/>
  <c r="B186" i="21"/>
  <c r="A187" i="21"/>
  <c r="J186" i="21"/>
  <c r="K186" i="21"/>
  <c r="L186" i="21"/>
  <c r="M186" i="21"/>
  <c r="I187" i="21"/>
  <c r="H188" i="21"/>
  <c r="C186" i="21" l="1"/>
  <c r="D186" i="21"/>
  <c r="E186" i="21"/>
  <c r="F186" i="21"/>
  <c r="B187" i="21"/>
  <c r="A188" i="21"/>
  <c r="J187" i="21"/>
  <c r="K187" i="21"/>
  <c r="L187" i="21"/>
  <c r="M187" i="21"/>
  <c r="I188" i="21"/>
  <c r="H189" i="21"/>
  <c r="C187" i="21" l="1"/>
  <c r="D187" i="21"/>
  <c r="E187" i="21"/>
  <c r="F187" i="21"/>
  <c r="B188" i="21"/>
  <c r="A189" i="21"/>
  <c r="J188" i="21"/>
  <c r="K188" i="21"/>
  <c r="L188" i="21"/>
  <c r="M188" i="21"/>
  <c r="I189" i="21"/>
  <c r="H190" i="21"/>
  <c r="C188" i="21" l="1"/>
  <c r="D188" i="21"/>
  <c r="E188" i="21"/>
  <c r="F188" i="21"/>
  <c r="B189" i="21"/>
  <c r="A190" i="21"/>
  <c r="J189" i="21"/>
  <c r="K189" i="21"/>
  <c r="L189" i="21"/>
  <c r="M189" i="21"/>
  <c r="I190" i="21"/>
  <c r="H191" i="21"/>
  <c r="C189" i="21" l="1"/>
  <c r="D189" i="21"/>
  <c r="E189" i="21"/>
  <c r="F189" i="21"/>
  <c r="B190" i="21"/>
  <c r="A191" i="21"/>
  <c r="J190" i="21"/>
  <c r="K190" i="21"/>
  <c r="L190" i="21"/>
  <c r="M190" i="21"/>
  <c r="I191" i="21"/>
  <c r="H192" i="21"/>
  <c r="C190" i="21" l="1"/>
  <c r="D190" i="21"/>
  <c r="E190" i="21"/>
  <c r="F190" i="21"/>
  <c r="B191" i="21"/>
  <c r="A192" i="21"/>
  <c r="J191" i="21"/>
  <c r="K191" i="21"/>
  <c r="L191" i="21"/>
  <c r="M191" i="21"/>
  <c r="I192" i="21"/>
  <c r="H193" i="21"/>
  <c r="C191" i="21" l="1"/>
  <c r="D191" i="21"/>
  <c r="E191" i="21"/>
  <c r="F191" i="21"/>
  <c r="B192" i="21"/>
  <c r="A193" i="21"/>
  <c r="J192" i="21"/>
  <c r="K192" i="21"/>
  <c r="L192" i="21"/>
  <c r="M192" i="21"/>
  <c r="I193" i="21"/>
  <c r="H194" i="21"/>
  <c r="C192" i="21" l="1"/>
  <c r="D192" i="21"/>
  <c r="E192" i="21"/>
  <c r="F192" i="21"/>
  <c r="B193" i="21"/>
  <c r="A194" i="21"/>
  <c r="J193" i="21"/>
  <c r="K193" i="21"/>
  <c r="L193" i="21"/>
  <c r="M193" i="21"/>
  <c r="I194" i="21"/>
  <c r="H195" i="21"/>
  <c r="C193" i="21" l="1"/>
  <c r="D193" i="21"/>
  <c r="E193" i="21"/>
  <c r="F193" i="21"/>
  <c r="B194" i="21"/>
  <c r="A195" i="21"/>
  <c r="J194" i="21"/>
  <c r="K194" i="21"/>
  <c r="L194" i="21"/>
  <c r="M194" i="21"/>
  <c r="I195" i="21"/>
  <c r="H196" i="21"/>
  <c r="C194" i="21" l="1"/>
  <c r="D194" i="21"/>
  <c r="E194" i="21"/>
  <c r="F194" i="21"/>
  <c r="B195" i="21"/>
  <c r="A196" i="21"/>
  <c r="J195" i="21"/>
  <c r="K195" i="21"/>
  <c r="L195" i="21"/>
  <c r="M195" i="21"/>
  <c r="I196" i="21"/>
  <c r="H197" i="21"/>
  <c r="C195" i="21" l="1"/>
  <c r="D195" i="21"/>
  <c r="E195" i="21"/>
  <c r="F195" i="21"/>
  <c r="B196" i="21"/>
  <c r="A197" i="21"/>
  <c r="J196" i="21"/>
  <c r="K196" i="21"/>
  <c r="L196" i="21"/>
  <c r="M196" i="21"/>
  <c r="I197" i="21"/>
  <c r="H198" i="21"/>
  <c r="C196" i="21" l="1"/>
  <c r="D196" i="21"/>
  <c r="E196" i="21"/>
  <c r="F196" i="21"/>
  <c r="B197" i="21"/>
  <c r="A198" i="21"/>
  <c r="J197" i="21"/>
  <c r="K197" i="21"/>
  <c r="L197" i="21"/>
  <c r="M197" i="21"/>
  <c r="I198" i="21"/>
  <c r="H199" i="21"/>
  <c r="C197" i="21" l="1"/>
  <c r="D197" i="21"/>
  <c r="E197" i="21"/>
  <c r="F197" i="21"/>
  <c r="B198" i="21"/>
  <c r="A199" i="21"/>
  <c r="J198" i="21"/>
  <c r="K198" i="21"/>
  <c r="L198" i="21"/>
  <c r="M198" i="21"/>
  <c r="I199" i="21"/>
  <c r="H200" i="21"/>
  <c r="C198" i="21" l="1"/>
  <c r="D198" i="21"/>
  <c r="E198" i="21"/>
  <c r="F198" i="21"/>
  <c r="B199" i="21"/>
  <c r="A200" i="21"/>
  <c r="J199" i="21"/>
  <c r="K199" i="21"/>
  <c r="L199" i="21"/>
  <c r="M199" i="21"/>
  <c r="I200" i="21"/>
  <c r="H201" i="21"/>
  <c r="C199" i="21" l="1"/>
  <c r="D199" i="21"/>
  <c r="E199" i="21"/>
  <c r="F199" i="21"/>
  <c r="B200" i="21"/>
  <c r="A201" i="21"/>
  <c r="J200" i="21"/>
  <c r="K200" i="21"/>
  <c r="L200" i="21"/>
  <c r="M200" i="21"/>
  <c r="I201" i="21"/>
  <c r="H202" i="21"/>
  <c r="C200" i="21" l="1"/>
  <c r="D200" i="21"/>
  <c r="E200" i="21"/>
  <c r="F200" i="21"/>
  <c r="B201" i="21"/>
  <c r="A202" i="21"/>
  <c r="J201" i="21"/>
  <c r="K201" i="21"/>
  <c r="L201" i="21"/>
  <c r="M201" i="21"/>
  <c r="I202" i="21"/>
  <c r="H203" i="21"/>
  <c r="C201" i="21" l="1"/>
  <c r="D201" i="21"/>
  <c r="E201" i="21"/>
  <c r="F201" i="21"/>
  <c r="B202" i="21"/>
  <c r="A203" i="21"/>
  <c r="J202" i="21"/>
  <c r="K202" i="21"/>
  <c r="L202" i="21"/>
  <c r="M202" i="21"/>
  <c r="I203" i="21"/>
  <c r="H204" i="21"/>
  <c r="C202" i="21" l="1"/>
  <c r="D202" i="21"/>
  <c r="E202" i="21"/>
  <c r="F202" i="21"/>
  <c r="B203" i="21"/>
  <c r="A204" i="21"/>
  <c r="J203" i="21"/>
  <c r="K203" i="21"/>
  <c r="L203" i="21"/>
  <c r="M203" i="21"/>
  <c r="I204" i="21"/>
  <c r="H205" i="21"/>
  <c r="C203" i="21" l="1"/>
  <c r="D203" i="21"/>
  <c r="E203" i="21"/>
  <c r="F203" i="21"/>
  <c r="B204" i="21"/>
  <c r="A205" i="21"/>
  <c r="J204" i="21"/>
  <c r="K204" i="21"/>
  <c r="L204" i="21"/>
  <c r="M204" i="21"/>
  <c r="I205" i="21"/>
  <c r="H206" i="21"/>
  <c r="C204" i="21" l="1"/>
  <c r="D204" i="21"/>
  <c r="E204" i="21"/>
  <c r="F204" i="21"/>
  <c r="B205" i="21"/>
  <c r="A206" i="21"/>
  <c r="J205" i="21"/>
  <c r="K205" i="21"/>
  <c r="L205" i="21"/>
  <c r="M205" i="21"/>
  <c r="I206" i="21"/>
  <c r="H207" i="21"/>
  <c r="C205" i="21" l="1"/>
  <c r="D205" i="21"/>
  <c r="E205" i="21"/>
  <c r="F205" i="21"/>
  <c r="B206" i="21"/>
  <c r="A207" i="21"/>
  <c r="J206" i="21"/>
  <c r="K206" i="21"/>
  <c r="L206" i="21"/>
  <c r="M206" i="21"/>
  <c r="I207" i="21"/>
  <c r="H208" i="21"/>
  <c r="C206" i="21" l="1"/>
  <c r="D206" i="21"/>
  <c r="E206" i="21"/>
  <c r="F206" i="21"/>
  <c r="B207" i="21"/>
  <c r="A208" i="21"/>
  <c r="J207" i="21"/>
  <c r="K207" i="21"/>
  <c r="L207" i="21"/>
  <c r="M207" i="21"/>
  <c r="I208" i="21"/>
  <c r="H209" i="21"/>
  <c r="C207" i="21" l="1"/>
  <c r="D207" i="21"/>
  <c r="E207" i="21"/>
  <c r="F207" i="21"/>
  <c r="B208" i="21"/>
  <c r="A209" i="21"/>
  <c r="J208" i="21"/>
  <c r="K208" i="21"/>
  <c r="L208" i="21"/>
  <c r="M208" i="21"/>
  <c r="I209" i="21"/>
  <c r="H210" i="21"/>
  <c r="C208" i="21" l="1"/>
  <c r="D208" i="21"/>
  <c r="E208" i="21"/>
  <c r="F208" i="21"/>
  <c r="B209" i="21"/>
  <c r="A210" i="21"/>
  <c r="J209" i="21"/>
  <c r="K209" i="21"/>
  <c r="L209" i="21"/>
  <c r="M209" i="21"/>
  <c r="I210" i="21"/>
  <c r="H211" i="21"/>
  <c r="C209" i="21" l="1"/>
  <c r="D209" i="21"/>
  <c r="E209" i="21"/>
  <c r="F209" i="21"/>
  <c r="B210" i="21"/>
  <c r="A211" i="21"/>
  <c r="J210" i="21"/>
  <c r="K210" i="21"/>
  <c r="L210" i="21"/>
  <c r="M210" i="21"/>
  <c r="I211" i="21"/>
  <c r="H212" i="21"/>
  <c r="C210" i="21" l="1"/>
  <c r="D210" i="21"/>
  <c r="E210" i="21"/>
  <c r="F210" i="21"/>
  <c r="B211" i="21"/>
  <c r="A212" i="21"/>
  <c r="J211" i="21"/>
  <c r="K211" i="21"/>
  <c r="L211" i="21"/>
  <c r="M211" i="21"/>
  <c r="I212" i="21"/>
  <c r="H213" i="21"/>
  <c r="C211" i="21" l="1"/>
  <c r="D211" i="21"/>
  <c r="E211" i="21"/>
  <c r="F211" i="21"/>
  <c r="B212" i="21"/>
  <c r="A213" i="21"/>
  <c r="J212" i="21"/>
  <c r="K212" i="21"/>
  <c r="L212" i="21"/>
  <c r="M212" i="21"/>
  <c r="I213" i="21"/>
  <c r="H214" i="21"/>
  <c r="C212" i="21" l="1"/>
  <c r="D212" i="21"/>
  <c r="E212" i="21"/>
  <c r="F212" i="21"/>
  <c r="B213" i="21"/>
  <c r="A214" i="21"/>
  <c r="J213" i="21"/>
  <c r="K213" i="21"/>
  <c r="L213" i="21"/>
  <c r="M213" i="21"/>
  <c r="I214" i="21"/>
  <c r="H215" i="21"/>
  <c r="C213" i="21" l="1"/>
  <c r="D213" i="21"/>
  <c r="E213" i="21"/>
  <c r="F213" i="21"/>
  <c r="B214" i="21"/>
  <c r="A215" i="21"/>
  <c r="J214" i="21"/>
  <c r="K214" i="21"/>
  <c r="L214" i="21"/>
  <c r="M214" i="21"/>
  <c r="I215" i="21"/>
  <c r="H216" i="21"/>
  <c r="C214" i="21" l="1"/>
  <c r="D214" i="21"/>
  <c r="E214" i="21"/>
  <c r="F214" i="21"/>
  <c r="B215" i="21"/>
  <c r="A216" i="21"/>
  <c r="J215" i="21"/>
  <c r="K215" i="21"/>
  <c r="L215" i="21"/>
  <c r="M215" i="21"/>
  <c r="I216" i="21"/>
  <c r="H217" i="21"/>
  <c r="C215" i="21" l="1"/>
  <c r="D215" i="21"/>
  <c r="E215" i="21"/>
  <c r="F215" i="21"/>
  <c r="B216" i="21"/>
  <c r="A217" i="21"/>
  <c r="J216" i="21"/>
  <c r="K216" i="21"/>
  <c r="L216" i="21"/>
  <c r="M216" i="21"/>
  <c r="I217" i="21"/>
  <c r="H218" i="21"/>
  <c r="C216" i="21" l="1"/>
  <c r="D216" i="21"/>
  <c r="E216" i="21"/>
  <c r="F216" i="21"/>
  <c r="B217" i="21"/>
  <c r="A218" i="21"/>
  <c r="J217" i="21"/>
  <c r="K217" i="21"/>
  <c r="L217" i="21"/>
  <c r="M217" i="21"/>
  <c r="I218" i="21"/>
  <c r="H219" i="21"/>
  <c r="C217" i="21" l="1"/>
  <c r="D217" i="21"/>
  <c r="E217" i="21"/>
  <c r="F217" i="21"/>
  <c r="B218" i="21"/>
  <c r="A219" i="21"/>
  <c r="J218" i="21"/>
  <c r="K218" i="21"/>
  <c r="L218" i="21"/>
  <c r="M218" i="21"/>
  <c r="I219" i="21"/>
  <c r="H220" i="21"/>
  <c r="C218" i="21" l="1"/>
  <c r="D218" i="21"/>
  <c r="E218" i="21"/>
  <c r="F218" i="21"/>
  <c r="B219" i="21"/>
  <c r="A220" i="21"/>
  <c r="J219" i="21"/>
  <c r="K219" i="21"/>
  <c r="L219" i="21"/>
  <c r="M219" i="21"/>
  <c r="I220" i="21"/>
  <c r="H221" i="21"/>
  <c r="C219" i="21" l="1"/>
  <c r="D219" i="21"/>
  <c r="E219" i="21"/>
  <c r="F219" i="21"/>
  <c r="B220" i="21"/>
  <c r="A221" i="21"/>
  <c r="J220" i="21"/>
  <c r="K220" i="21"/>
  <c r="L220" i="21"/>
  <c r="M220" i="21"/>
  <c r="I221" i="21"/>
  <c r="H222" i="21"/>
  <c r="C220" i="21" l="1"/>
  <c r="D220" i="21"/>
  <c r="E220" i="21"/>
  <c r="F220" i="21"/>
  <c r="B221" i="21"/>
  <c r="A222" i="21"/>
  <c r="J221" i="21"/>
  <c r="K221" i="21"/>
  <c r="L221" i="21"/>
  <c r="M221" i="21"/>
  <c r="I222" i="21"/>
  <c r="H223" i="21"/>
  <c r="C221" i="21" l="1"/>
  <c r="D221" i="21"/>
  <c r="E221" i="21"/>
  <c r="F221" i="21"/>
  <c r="B222" i="21"/>
  <c r="A223" i="21"/>
  <c r="J222" i="21"/>
  <c r="K222" i="21"/>
  <c r="L222" i="21"/>
  <c r="M222" i="21"/>
  <c r="I223" i="21"/>
  <c r="H224" i="21"/>
  <c r="C222" i="21" l="1"/>
  <c r="D222" i="21"/>
  <c r="E222" i="21"/>
  <c r="F222" i="21"/>
  <c r="B223" i="21"/>
  <c r="A224" i="21"/>
  <c r="J223" i="21"/>
  <c r="K223" i="21"/>
  <c r="L223" i="21"/>
  <c r="M223" i="21"/>
  <c r="I224" i="21"/>
  <c r="H225" i="21"/>
  <c r="C223" i="21" l="1"/>
  <c r="D223" i="21"/>
  <c r="E223" i="21"/>
  <c r="F223" i="21"/>
  <c r="B224" i="21"/>
  <c r="A225" i="21"/>
  <c r="J224" i="21"/>
  <c r="K224" i="21"/>
  <c r="L224" i="21"/>
  <c r="M224" i="21"/>
  <c r="I225" i="21"/>
  <c r="H226" i="21"/>
  <c r="C224" i="21" l="1"/>
  <c r="D224" i="21"/>
  <c r="E224" i="21"/>
  <c r="F224" i="21"/>
  <c r="B225" i="21"/>
  <c r="A226" i="21"/>
  <c r="J225" i="21"/>
  <c r="K225" i="21"/>
  <c r="L225" i="21"/>
  <c r="M225" i="21"/>
  <c r="I226" i="21"/>
  <c r="H227" i="21"/>
  <c r="C225" i="21" l="1"/>
  <c r="D225" i="21"/>
  <c r="E225" i="21"/>
  <c r="F225" i="21"/>
  <c r="B226" i="21"/>
  <c r="A227" i="21"/>
  <c r="J226" i="21"/>
  <c r="K226" i="21"/>
  <c r="L226" i="21"/>
  <c r="M226" i="21"/>
  <c r="I227" i="21"/>
  <c r="H228" i="21"/>
  <c r="C226" i="21" l="1"/>
  <c r="D226" i="21"/>
  <c r="E226" i="21"/>
  <c r="F226" i="21"/>
  <c r="B227" i="21"/>
  <c r="A228" i="21"/>
  <c r="J227" i="21"/>
  <c r="K227" i="21"/>
  <c r="L227" i="21"/>
  <c r="M227" i="21"/>
  <c r="I228" i="21"/>
  <c r="H229" i="21"/>
  <c r="C227" i="21" l="1"/>
  <c r="D227" i="21"/>
  <c r="E227" i="21"/>
  <c r="F227" i="21"/>
  <c r="B228" i="21"/>
  <c r="A229" i="21"/>
  <c r="J228" i="21"/>
  <c r="K228" i="21"/>
  <c r="L228" i="21"/>
  <c r="M228" i="21"/>
  <c r="I229" i="21"/>
  <c r="H230" i="21"/>
  <c r="C228" i="21" l="1"/>
  <c r="D228" i="21"/>
  <c r="E228" i="21"/>
  <c r="F228" i="21"/>
  <c r="B229" i="21"/>
  <c r="A230" i="21"/>
  <c r="J229" i="21"/>
  <c r="K229" i="21"/>
  <c r="L229" i="21"/>
  <c r="M229" i="21"/>
  <c r="I230" i="21"/>
  <c r="H231" i="21"/>
  <c r="C229" i="21" l="1"/>
  <c r="D229" i="21"/>
  <c r="E229" i="21"/>
  <c r="F229" i="21"/>
  <c r="B230" i="21"/>
  <c r="A231" i="21"/>
  <c r="J230" i="21"/>
  <c r="K230" i="21"/>
  <c r="L230" i="21"/>
  <c r="M230" i="21"/>
  <c r="I231" i="21"/>
  <c r="H232" i="21"/>
  <c r="C230" i="21" l="1"/>
  <c r="D230" i="21"/>
  <c r="E230" i="21"/>
  <c r="F230" i="21"/>
  <c r="B231" i="21"/>
  <c r="A232" i="21"/>
  <c r="J231" i="21"/>
  <c r="K231" i="21"/>
  <c r="L231" i="21"/>
  <c r="M231" i="21"/>
  <c r="I232" i="21"/>
  <c r="H233" i="21"/>
  <c r="C231" i="21" l="1"/>
  <c r="D231" i="21"/>
  <c r="E231" i="21"/>
  <c r="F231" i="21"/>
  <c r="B232" i="21"/>
  <c r="A233" i="21"/>
  <c r="J232" i="21"/>
  <c r="K232" i="21"/>
  <c r="L232" i="21"/>
  <c r="M232" i="21"/>
  <c r="I233" i="21"/>
  <c r="H234" i="21"/>
  <c r="C232" i="21" l="1"/>
  <c r="D232" i="21"/>
  <c r="E232" i="21"/>
  <c r="F232" i="21"/>
  <c r="B233" i="21"/>
  <c r="A234" i="21"/>
  <c r="J233" i="21"/>
  <c r="K233" i="21"/>
  <c r="L233" i="21"/>
  <c r="M233" i="21"/>
  <c r="I234" i="21"/>
  <c r="H235" i="21"/>
  <c r="C233" i="21" l="1"/>
  <c r="D233" i="21"/>
  <c r="E233" i="21"/>
  <c r="F233" i="21"/>
  <c r="B234" i="21"/>
  <c r="A235" i="21"/>
  <c r="J234" i="21"/>
  <c r="K234" i="21"/>
  <c r="L234" i="21"/>
  <c r="M234" i="21"/>
  <c r="I235" i="21"/>
  <c r="H236" i="21"/>
  <c r="C234" i="21" l="1"/>
  <c r="D234" i="21"/>
  <c r="E234" i="21"/>
  <c r="F234" i="21"/>
  <c r="B235" i="21"/>
  <c r="A236" i="21"/>
  <c r="J235" i="21"/>
  <c r="K235" i="21"/>
  <c r="L235" i="21"/>
  <c r="M235" i="21"/>
  <c r="I236" i="21"/>
  <c r="H237" i="21"/>
  <c r="C235" i="21" l="1"/>
  <c r="D235" i="21"/>
  <c r="E235" i="21"/>
  <c r="F235" i="21"/>
  <c r="B236" i="21"/>
  <c r="A237" i="21"/>
  <c r="J236" i="21"/>
  <c r="K236" i="21"/>
  <c r="L236" i="21"/>
  <c r="M236" i="21"/>
  <c r="I237" i="21"/>
  <c r="H238" i="21"/>
  <c r="C236" i="21" l="1"/>
  <c r="D236" i="21"/>
  <c r="E236" i="21"/>
  <c r="F236" i="21"/>
  <c r="B237" i="21"/>
  <c r="A238" i="21"/>
  <c r="J237" i="21"/>
  <c r="K237" i="21"/>
  <c r="L237" i="21"/>
  <c r="M237" i="21"/>
  <c r="I238" i="21"/>
  <c r="H239" i="21"/>
  <c r="C237" i="21" l="1"/>
  <c r="D237" i="21"/>
  <c r="E237" i="21"/>
  <c r="F237" i="21"/>
  <c r="B238" i="21"/>
  <c r="A239" i="21"/>
  <c r="J238" i="21"/>
  <c r="K238" i="21"/>
  <c r="L238" i="21"/>
  <c r="M238" i="21"/>
  <c r="I239" i="21"/>
  <c r="H240" i="21"/>
  <c r="C238" i="21" l="1"/>
  <c r="D238" i="21"/>
  <c r="E238" i="21"/>
  <c r="F238" i="21"/>
  <c r="B239" i="21"/>
  <c r="A240" i="21"/>
  <c r="J239" i="21"/>
  <c r="K239" i="21"/>
  <c r="L239" i="21"/>
  <c r="M239" i="21"/>
  <c r="I240" i="21"/>
  <c r="H241" i="21"/>
  <c r="C239" i="21" l="1"/>
  <c r="D239" i="21"/>
  <c r="E239" i="21"/>
  <c r="F239" i="21"/>
  <c r="B240" i="21"/>
  <c r="A241" i="21"/>
  <c r="J240" i="21"/>
  <c r="K240" i="21"/>
  <c r="L240" i="21"/>
  <c r="M240" i="21"/>
  <c r="I241" i="21"/>
  <c r="H242" i="21"/>
  <c r="C240" i="21" l="1"/>
  <c r="D240" i="21"/>
  <c r="E240" i="21"/>
  <c r="F240" i="21"/>
  <c r="B241" i="21"/>
  <c r="A242" i="21"/>
  <c r="J241" i="21"/>
  <c r="K241" i="21"/>
  <c r="L241" i="21"/>
  <c r="M241" i="21"/>
  <c r="I242" i="21"/>
  <c r="H243" i="21"/>
  <c r="C241" i="21" l="1"/>
  <c r="D241" i="21"/>
  <c r="E241" i="21"/>
  <c r="F241" i="21"/>
  <c r="B242" i="21"/>
  <c r="A243" i="21"/>
  <c r="J242" i="21"/>
  <c r="K242" i="21"/>
  <c r="L242" i="21"/>
  <c r="M242" i="21"/>
  <c r="I243" i="21"/>
  <c r="H244" i="21"/>
  <c r="C242" i="21" l="1"/>
  <c r="D242" i="21"/>
  <c r="E242" i="21"/>
  <c r="F242" i="21"/>
  <c r="B243" i="21"/>
  <c r="A244" i="21"/>
  <c r="J243" i="21"/>
  <c r="K243" i="21"/>
  <c r="L243" i="21"/>
  <c r="M243" i="21"/>
  <c r="I244" i="21"/>
  <c r="H245" i="21"/>
  <c r="C243" i="21" l="1"/>
  <c r="D243" i="21"/>
  <c r="E243" i="21"/>
  <c r="F243" i="21"/>
  <c r="B244" i="21"/>
  <c r="A245" i="21"/>
  <c r="J244" i="21"/>
  <c r="K244" i="21"/>
  <c r="L244" i="21"/>
  <c r="M244" i="21"/>
  <c r="I245" i="21"/>
  <c r="H246" i="21"/>
  <c r="C244" i="21" l="1"/>
  <c r="D244" i="21"/>
  <c r="E244" i="21"/>
  <c r="F244" i="21"/>
  <c r="B245" i="21"/>
  <c r="A246" i="21"/>
  <c r="J245" i="21"/>
  <c r="K245" i="21"/>
  <c r="L245" i="21"/>
  <c r="M245" i="21"/>
  <c r="I246" i="21"/>
  <c r="H247" i="21"/>
  <c r="C245" i="21" l="1"/>
  <c r="D245" i="21"/>
  <c r="E245" i="21"/>
  <c r="F245" i="21"/>
  <c r="B246" i="21"/>
  <c r="A247" i="21"/>
  <c r="J246" i="21"/>
  <c r="K246" i="21"/>
  <c r="L246" i="21"/>
  <c r="M246" i="21"/>
  <c r="I247" i="21"/>
  <c r="H248" i="21"/>
  <c r="C246" i="21" l="1"/>
  <c r="D246" i="21"/>
  <c r="E246" i="21"/>
  <c r="F246" i="21"/>
  <c r="B247" i="21"/>
  <c r="A248" i="21"/>
  <c r="J247" i="21"/>
  <c r="K247" i="21"/>
  <c r="L247" i="21"/>
  <c r="M247" i="21"/>
  <c r="I248" i="21"/>
  <c r="H249" i="21"/>
  <c r="C247" i="21" l="1"/>
  <c r="D247" i="21"/>
  <c r="E247" i="21"/>
  <c r="F247" i="21"/>
  <c r="B248" i="21"/>
  <c r="A249" i="21"/>
  <c r="J248" i="21"/>
  <c r="K248" i="21"/>
  <c r="L248" i="21"/>
  <c r="M248" i="21"/>
  <c r="I249" i="21"/>
  <c r="H250" i="21"/>
  <c r="C248" i="21" l="1"/>
  <c r="D248" i="21"/>
  <c r="E248" i="21"/>
  <c r="F248" i="21"/>
  <c r="B249" i="21"/>
  <c r="A250" i="21"/>
  <c r="J249" i="21"/>
  <c r="K249" i="21"/>
  <c r="L249" i="21"/>
  <c r="M249" i="21"/>
  <c r="I250" i="21"/>
  <c r="H251" i="21"/>
  <c r="C249" i="21" l="1"/>
  <c r="D249" i="21"/>
  <c r="E249" i="21"/>
  <c r="F249" i="21"/>
  <c r="B250" i="21"/>
  <c r="A251" i="21"/>
  <c r="J250" i="21"/>
  <c r="K250" i="21"/>
  <c r="L250" i="21"/>
  <c r="M250" i="21"/>
  <c r="I251" i="21"/>
  <c r="H252" i="21"/>
  <c r="C250" i="21" l="1"/>
  <c r="D250" i="21"/>
  <c r="E250" i="21"/>
  <c r="F250" i="21"/>
  <c r="B251" i="21"/>
  <c r="A252" i="21"/>
  <c r="J251" i="21"/>
  <c r="K251" i="21"/>
  <c r="L251" i="21"/>
  <c r="M251" i="21"/>
  <c r="I252" i="21"/>
  <c r="H253" i="21"/>
  <c r="C251" i="21" l="1"/>
  <c r="D251" i="21"/>
  <c r="E251" i="21"/>
  <c r="F251" i="21"/>
  <c r="B252" i="21"/>
  <c r="A253" i="21"/>
  <c r="J252" i="21"/>
  <c r="K252" i="21"/>
  <c r="L252" i="21"/>
  <c r="M252" i="21"/>
  <c r="I253" i="21"/>
  <c r="H254" i="21"/>
  <c r="C252" i="21" l="1"/>
  <c r="D252" i="21"/>
  <c r="E252" i="21"/>
  <c r="F252" i="21"/>
  <c r="B253" i="21"/>
  <c r="A254" i="21"/>
  <c r="J253" i="21"/>
  <c r="K253" i="21"/>
  <c r="L253" i="21"/>
  <c r="M253" i="21"/>
  <c r="I254" i="21"/>
  <c r="H255" i="21"/>
  <c r="C253" i="21" l="1"/>
  <c r="D253" i="21"/>
  <c r="E253" i="21"/>
  <c r="F253" i="21"/>
  <c r="B254" i="21"/>
  <c r="A255" i="21"/>
  <c r="J254" i="21"/>
  <c r="K254" i="21"/>
  <c r="L254" i="21"/>
  <c r="M254" i="21"/>
  <c r="I255" i="21"/>
  <c r="H256" i="21"/>
  <c r="C254" i="21" l="1"/>
  <c r="D254" i="21"/>
  <c r="E254" i="21"/>
  <c r="F254" i="21"/>
  <c r="B255" i="21"/>
  <c r="A256" i="21"/>
  <c r="J255" i="21"/>
  <c r="K255" i="21"/>
  <c r="L255" i="21"/>
  <c r="M255" i="21"/>
  <c r="I256" i="21"/>
  <c r="H257" i="21"/>
  <c r="C255" i="21" l="1"/>
  <c r="D255" i="21"/>
  <c r="E255" i="21"/>
  <c r="F255" i="21"/>
  <c r="B256" i="21"/>
  <c r="A257" i="21"/>
  <c r="J256" i="21"/>
  <c r="K256" i="21"/>
  <c r="L256" i="21"/>
  <c r="M256" i="21"/>
  <c r="I257" i="21"/>
  <c r="H258" i="21"/>
  <c r="C256" i="21" l="1"/>
  <c r="D256" i="21"/>
  <c r="E256" i="21"/>
  <c r="F256" i="21"/>
  <c r="B257" i="21"/>
  <c r="A258" i="21"/>
  <c r="J257" i="21"/>
  <c r="K257" i="21"/>
  <c r="L257" i="21"/>
  <c r="M257" i="21"/>
  <c r="I258" i="21"/>
  <c r="H259" i="21"/>
  <c r="C257" i="21" l="1"/>
  <c r="D257" i="21"/>
  <c r="E257" i="21"/>
  <c r="F257" i="21"/>
  <c r="B258" i="21"/>
  <c r="A259" i="21"/>
  <c r="J258" i="21"/>
  <c r="K258" i="21"/>
  <c r="L258" i="21"/>
  <c r="M258" i="21"/>
  <c r="I259" i="21"/>
  <c r="H260" i="21"/>
  <c r="C258" i="21" l="1"/>
  <c r="D258" i="21"/>
  <c r="E258" i="21"/>
  <c r="F258" i="21"/>
  <c r="B259" i="21"/>
  <c r="A260" i="21"/>
  <c r="J259" i="21"/>
  <c r="K259" i="21"/>
  <c r="L259" i="21"/>
  <c r="M259" i="21"/>
  <c r="I260" i="21"/>
  <c r="H261" i="21"/>
  <c r="C259" i="21" l="1"/>
  <c r="D259" i="21"/>
  <c r="E259" i="21"/>
  <c r="F259" i="21"/>
  <c r="B260" i="21"/>
  <c r="A261" i="21"/>
  <c r="J260" i="21"/>
  <c r="K260" i="21"/>
  <c r="L260" i="21"/>
  <c r="M260" i="21"/>
  <c r="I261" i="21"/>
  <c r="H262" i="21"/>
  <c r="C260" i="21" l="1"/>
  <c r="D260" i="21"/>
  <c r="E260" i="21"/>
  <c r="F260" i="21"/>
  <c r="B261" i="21"/>
  <c r="A262" i="21"/>
  <c r="J261" i="21"/>
  <c r="K261" i="21"/>
  <c r="L261" i="21"/>
  <c r="M261" i="21"/>
  <c r="I262" i="21"/>
  <c r="H263" i="21"/>
  <c r="C261" i="21" l="1"/>
  <c r="D261" i="21"/>
  <c r="E261" i="21"/>
  <c r="F261" i="21"/>
  <c r="B262" i="21"/>
  <c r="A263" i="21"/>
  <c r="J262" i="21"/>
  <c r="K262" i="21"/>
  <c r="L262" i="21"/>
  <c r="M262" i="21"/>
  <c r="I263" i="21"/>
  <c r="H264" i="21"/>
  <c r="C262" i="21" l="1"/>
  <c r="D262" i="21"/>
  <c r="E262" i="21"/>
  <c r="F262" i="21"/>
  <c r="B263" i="21"/>
  <c r="A264" i="21"/>
  <c r="J263" i="21"/>
  <c r="K263" i="21"/>
  <c r="L263" i="21"/>
  <c r="M263" i="21"/>
  <c r="I264" i="21"/>
  <c r="H265" i="21"/>
  <c r="C263" i="21" l="1"/>
  <c r="D263" i="21"/>
  <c r="E263" i="21"/>
  <c r="F263" i="21"/>
  <c r="B264" i="21"/>
  <c r="A265" i="21"/>
  <c r="J264" i="21"/>
  <c r="K264" i="21"/>
  <c r="L264" i="21"/>
  <c r="M264" i="21"/>
  <c r="I265" i="21"/>
  <c r="H266" i="21"/>
  <c r="C264" i="21" l="1"/>
  <c r="D264" i="21"/>
  <c r="E264" i="21"/>
  <c r="F264" i="21"/>
  <c r="B265" i="21"/>
  <c r="A266" i="21"/>
  <c r="J265" i="21"/>
  <c r="K265" i="21"/>
  <c r="L265" i="21"/>
  <c r="M265" i="21"/>
  <c r="I266" i="21"/>
  <c r="H267" i="21"/>
  <c r="C265" i="21" l="1"/>
  <c r="D265" i="21"/>
  <c r="E265" i="21"/>
  <c r="F265" i="21"/>
  <c r="B266" i="21"/>
  <c r="A267" i="21"/>
  <c r="J266" i="21"/>
  <c r="K266" i="21"/>
  <c r="L266" i="21"/>
  <c r="M266" i="21"/>
  <c r="I267" i="21"/>
  <c r="H268" i="21"/>
  <c r="C266" i="21" l="1"/>
  <c r="D266" i="21"/>
  <c r="E266" i="21"/>
  <c r="F266" i="21"/>
  <c r="B267" i="21"/>
  <c r="A268" i="21"/>
  <c r="J267" i="21"/>
  <c r="K267" i="21"/>
  <c r="L267" i="21"/>
  <c r="M267" i="21"/>
  <c r="I268" i="21"/>
  <c r="H269" i="21"/>
  <c r="C267" i="21" l="1"/>
  <c r="D267" i="21"/>
  <c r="E267" i="21"/>
  <c r="F267" i="21"/>
  <c r="B268" i="21"/>
  <c r="A269" i="21"/>
  <c r="J268" i="21"/>
  <c r="K268" i="21"/>
  <c r="L268" i="21"/>
  <c r="M268" i="21"/>
  <c r="I269" i="21"/>
  <c r="H270" i="21"/>
  <c r="C268" i="21" l="1"/>
  <c r="D268" i="21"/>
  <c r="E268" i="21"/>
  <c r="F268" i="21"/>
  <c r="B269" i="21"/>
  <c r="A270" i="21"/>
  <c r="J269" i="21"/>
  <c r="K269" i="21"/>
  <c r="L269" i="21"/>
  <c r="M269" i="21"/>
  <c r="I270" i="21"/>
  <c r="H271" i="21"/>
  <c r="C269" i="21" l="1"/>
  <c r="D269" i="21"/>
  <c r="E269" i="21"/>
  <c r="F269" i="21"/>
  <c r="B270" i="21"/>
  <c r="A271" i="21"/>
  <c r="J270" i="21"/>
  <c r="K270" i="21"/>
  <c r="L270" i="21"/>
  <c r="M270" i="21"/>
  <c r="I271" i="21"/>
  <c r="H272" i="21"/>
  <c r="C270" i="21" l="1"/>
  <c r="D270" i="21"/>
  <c r="E270" i="21"/>
  <c r="F270" i="21"/>
  <c r="B271" i="21"/>
  <c r="A272" i="21"/>
  <c r="J271" i="21"/>
  <c r="K271" i="21"/>
  <c r="L271" i="21"/>
  <c r="M271" i="21"/>
  <c r="I272" i="21"/>
  <c r="H273" i="21"/>
  <c r="C271" i="21" l="1"/>
  <c r="D271" i="21"/>
  <c r="E271" i="21"/>
  <c r="F271" i="21"/>
  <c r="B272" i="21"/>
  <c r="A273" i="21"/>
  <c r="J272" i="21"/>
  <c r="K272" i="21"/>
  <c r="L272" i="21"/>
  <c r="M272" i="21"/>
  <c r="I273" i="21"/>
  <c r="H274" i="21"/>
  <c r="C272" i="21" l="1"/>
  <c r="D272" i="21"/>
  <c r="E272" i="21"/>
  <c r="F272" i="21"/>
  <c r="B273" i="21"/>
  <c r="A274" i="21"/>
  <c r="J273" i="21"/>
  <c r="K273" i="21"/>
  <c r="L273" i="21"/>
  <c r="M273" i="21"/>
  <c r="I274" i="21"/>
  <c r="H275" i="21"/>
  <c r="C273" i="21" l="1"/>
  <c r="D273" i="21"/>
  <c r="E273" i="21"/>
  <c r="F273" i="21"/>
  <c r="B274" i="21"/>
  <c r="A275" i="21"/>
  <c r="J274" i="21"/>
  <c r="K274" i="21"/>
  <c r="L274" i="21"/>
  <c r="M274" i="21"/>
  <c r="I275" i="21"/>
  <c r="H276" i="21"/>
  <c r="C274" i="21" l="1"/>
  <c r="D274" i="21"/>
  <c r="E274" i="21"/>
  <c r="F274" i="21"/>
  <c r="B275" i="21"/>
  <c r="A276" i="21"/>
  <c r="J275" i="21"/>
  <c r="K275" i="21"/>
  <c r="L275" i="21"/>
  <c r="M275" i="21"/>
  <c r="I276" i="21"/>
  <c r="H277" i="21"/>
  <c r="C275" i="21" l="1"/>
  <c r="D275" i="21"/>
  <c r="E275" i="21"/>
  <c r="F275" i="21"/>
  <c r="B276" i="21"/>
  <c r="A277" i="21"/>
  <c r="J276" i="21"/>
  <c r="K276" i="21"/>
  <c r="L276" i="21"/>
  <c r="M276" i="21"/>
  <c r="I277" i="21"/>
  <c r="H278" i="21"/>
  <c r="C276" i="21" l="1"/>
  <c r="D276" i="21"/>
  <c r="E276" i="21"/>
  <c r="F276" i="21"/>
  <c r="B277" i="21"/>
  <c r="A278" i="21"/>
  <c r="J277" i="21"/>
  <c r="K277" i="21"/>
  <c r="L277" i="21"/>
  <c r="M277" i="21"/>
  <c r="I278" i="21"/>
  <c r="H279" i="21"/>
  <c r="C277" i="21" l="1"/>
  <c r="D277" i="21"/>
  <c r="E277" i="21"/>
  <c r="F277" i="21"/>
  <c r="B278" i="21"/>
  <c r="A279" i="21"/>
  <c r="J278" i="21"/>
  <c r="K278" i="21"/>
  <c r="L278" i="21"/>
  <c r="M278" i="21"/>
  <c r="I279" i="21"/>
  <c r="H280" i="21"/>
  <c r="C278" i="21" l="1"/>
  <c r="D278" i="21"/>
  <c r="E278" i="21"/>
  <c r="F278" i="21"/>
  <c r="B279" i="21"/>
  <c r="A280" i="21"/>
  <c r="J279" i="21"/>
  <c r="K279" i="21"/>
  <c r="L279" i="21"/>
  <c r="M279" i="21"/>
  <c r="I280" i="21"/>
  <c r="H281" i="21"/>
  <c r="C279" i="21" l="1"/>
  <c r="D279" i="21"/>
  <c r="E279" i="21"/>
  <c r="F279" i="21"/>
  <c r="B280" i="21"/>
  <c r="A281" i="21"/>
  <c r="J280" i="21"/>
  <c r="K280" i="21"/>
  <c r="L280" i="21"/>
  <c r="M280" i="21"/>
  <c r="I281" i="21"/>
  <c r="H282" i="21"/>
  <c r="C280" i="21" l="1"/>
  <c r="D280" i="21"/>
  <c r="E280" i="21"/>
  <c r="F280" i="21"/>
  <c r="B281" i="21"/>
  <c r="A282" i="21"/>
  <c r="J281" i="21"/>
  <c r="K281" i="21"/>
  <c r="L281" i="21"/>
  <c r="M281" i="21"/>
  <c r="I282" i="21"/>
  <c r="H283" i="21"/>
  <c r="C281" i="21" l="1"/>
  <c r="D281" i="21"/>
  <c r="E281" i="21"/>
  <c r="F281" i="21"/>
  <c r="B282" i="21"/>
  <c r="A283" i="21"/>
  <c r="J282" i="21"/>
  <c r="K282" i="21"/>
  <c r="L282" i="21"/>
  <c r="M282" i="21"/>
  <c r="I283" i="21"/>
  <c r="H284" i="21"/>
  <c r="C282" i="21" l="1"/>
  <c r="D282" i="21"/>
  <c r="E282" i="21"/>
  <c r="F282" i="21"/>
  <c r="B283" i="21"/>
  <c r="A284" i="21"/>
  <c r="J283" i="21"/>
  <c r="K283" i="21"/>
  <c r="L283" i="21"/>
  <c r="M283" i="21"/>
  <c r="I284" i="21"/>
  <c r="H285" i="21"/>
  <c r="C283" i="21" l="1"/>
  <c r="D283" i="21"/>
  <c r="E283" i="21"/>
  <c r="F283" i="21"/>
  <c r="B284" i="21"/>
  <c r="A285" i="21"/>
  <c r="J284" i="21"/>
  <c r="K284" i="21"/>
  <c r="L284" i="21"/>
  <c r="M284" i="21"/>
  <c r="I285" i="21"/>
  <c r="H286" i="21"/>
  <c r="C284" i="21" l="1"/>
  <c r="D284" i="21"/>
  <c r="E284" i="21"/>
  <c r="F284" i="21"/>
  <c r="B285" i="21"/>
  <c r="A286" i="21"/>
  <c r="J285" i="21"/>
  <c r="K285" i="21"/>
  <c r="L285" i="21"/>
  <c r="M285" i="21"/>
  <c r="I286" i="21"/>
  <c r="H287" i="21"/>
  <c r="C285" i="21" l="1"/>
  <c r="D285" i="21"/>
  <c r="E285" i="21"/>
  <c r="F285" i="21"/>
  <c r="B286" i="21"/>
  <c r="A287" i="21"/>
  <c r="J286" i="21"/>
  <c r="K286" i="21"/>
  <c r="L286" i="21"/>
  <c r="M286" i="21"/>
  <c r="I287" i="21"/>
  <c r="H288" i="21"/>
  <c r="C286" i="21" l="1"/>
  <c r="D286" i="21"/>
  <c r="E286" i="21"/>
  <c r="F286" i="21"/>
  <c r="B287" i="21"/>
  <c r="A288" i="21"/>
  <c r="J287" i="21"/>
  <c r="K287" i="21"/>
  <c r="L287" i="21"/>
  <c r="M287" i="21"/>
  <c r="I288" i="21"/>
  <c r="H289" i="21"/>
  <c r="C287" i="21" l="1"/>
  <c r="D287" i="21"/>
  <c r="E287" i="21"/>
  <c r="F287" i="21"/>
  <c r="B288" i="21"/>
  <c r="A289" i="21"/>
  <c r="J288" i="21"/>
  <c r="K288" i="21"/>
  <c r="L288" i="21"/>
  <c r="M288" i="21"/>
  <c r="I289" i="21"/>
  <c r="H290" i="21"/>
  <c r="C288" i="21" l="1"/>
  <c r="D288" i="21"/>
  <c r="E288" i="21"/>
  <c r="F288" i="21"/>
  <c r="B289" i="21"/>
  <c r="A290" i="21"/>
  <c r="J289" i="21"/>
  <c r="K289" i="21"/>
  <c r="L289" i="21"/>
  <c r="M289" i="21"/>
  <c r="I290" i="21"/>
  <c r="H291" i="21"/>
  <c r="C289" i="21" l="1"/>
  <c r="D289" i="21"/>
  <c r="E289" i="21"/>
  <c r="F289" i="21"/>
  <c r="B290" i="21"/>
  <c r="A291" i="21"/>
  <c r="J290" i="21"/>
  <c r="K290" i="21"/>
  <c r="L290" i="21"/>
  <c r="M290" i="21"/>
  <c r="I291" i="21"/>
  <c r="H292" i="21"/>
  <c r="C290" i="21" l="1"/>
  <c r="D290" i="21"/>
  <c r="E290" i="21"/>
  <c r="F290" i="21"/>
  <c r="B291" i="21"/>
  <c r="A292" i="21"/>
  <c r="J291" i="21"/>
  <c r="K291" i="21"/>
  <c r="L291" i="21"/>
  <c r="M291" i="21"/>
  <c r="I292" i="21"/>
  <c r="H293" i="21"/>
  <c r="C291" i="21" l="1"/>
  <c r="D291" i="21"/>
  <c r="E291" i="21"/>
  <c r="F291" i="21"/>
  <c r="B292" i="21"/>
  <c r="A293" i="21"/>
  <c r="J292" i="21"/>
  <c r="K292" i="21"/>
  <c r="L292" i="21"/>
  <c r="M292" i="21"/>
  <c r="I293" i="21"/>
  <c r="H294" i="21"/>
  <c r="C292" i="21" l="1"/>
  <c r="D292" i="21"/>
  <c r="E292" i="21"/>
  <c r="F292" i="21"/>
  <c r="B293" i="21"/>
  <c r="A294" i="21"/>
  <c r="J293" i="21"/>
  <c r="K293" i="21"/>
  <c r="L293" i="21"/>
  <c r="M293" i="21"/>
  <c r="I294" i="21"/>
  <c r="H295" i="21"/>
  <c r="C293" i="21" l="1"/>
  <c r="D293" i="21"/>
  <c r="E293" i="21"/>
  <c r="F293" i="21"/>
  <c r="B294" i="21"/>
  <c r="A295" i="21"/>
  <c r="J294" i="21"/>
  <c r="K294" i="21"/>
  <c r="L294" i="21"/>
  <c r="M294" i="21"/>
  <c r="I295" i="21"/>
  <c r="H296" i="21"/>
  <c r="C294" i="21" l="1"/>
  <c r="D294" i="21"/>
  <c r="E294" i="21"/>
  <c r="F294" i="21"/>
  <c r="B295" i="21"/>
  <c r="A296" i="21"/>
  <c r="J295" i="21"/>
  <c r="K295" i="21"/>
  <c r="L295" i="21"/>
  <c r="M295" i="21"/>
  <c r="I296" i="21"/>
  <c r="H297" i="21"/>
  <c r="C295" i="21" l="1"/>
  <c r="D295" i="21"/>
  <c r="E295" i="21"/>
  <c r="F295" i="21"/>
  <c r="B296" i="21"/>
  <c r="A297" i="21"/>
  <c r="J296" i="21"/>
  <c r="K296" i="21"/>
  <c r="L296" i="21"/>
  <c r="M296" i="21"/>
  <c r="I297" i="21"/>
  <c r="H298" i="21"/>
  <c r="C296" i="21" l="1"/>
  <c r="D296" i="21"/>
  <c r="E296" i="21"/>
  <c r="F296" i="21"/>
  <c r="B297" i="21"/>
  <c r="A298" i="21"/>
  <c r="J297" i="21"/>
  <c r="K297" i="21"/>
  <c r="L297" i="21"/>
  <c r="M297" i="21"/>
  <c r="I298" i="21"/>
  <c r="H299" i="21"/>
  <c r="C297" i="21" l="1"/>
  <c r="D297" i="21"/>
  <c r="E297" i="21"/>
  <c r="F297" i="21"/>
  <c r="B298" i="21"/>
  <c r="A299" i="21"/>
  <c r="J298" i="21"/>
  <c r="K298" i="21"/>
  <c r="L298" i="21"/>
  <c r="M298" i="21"/>
  <c r="I299" i="21"/>
  <c r="H300" i="21"/>
  <c r="C298" i="21" l="1"/>
  <c r="D298" i="21"/>
  <c r="E298" i="21"/>
  <c r="F298" i="21"/>
  <c r="B299" i="21"/>
  <c r="A300" i="21"/>
  <c r="J299" i="21"/>
  <c r="K299" i="21"/>
  <c r="L299" i="21"/>
  <c r="M299" i="21"/>
  <c r="I300" i="21"/>
  <c r="H301" i="21"/>
  <c r="C299" i="21" l="1"/>
  <c r="D299" i="21"/>
  <c r="E299" i="21"/>
  <c r="F299" i="21"/>
  <c r="B300" i="21"/>
  <c r="A301" i="21"/>
  <c r="J300" i="21"/>
  <c r="K300" i="21"/>
  <c r="L300" i="21"/>
  <c r="M300" i="21"/>
  <c r="I301" i="21"/>
  <c r="H302" i="21"/>
  <c r="C300" i="21" l="1"/>
  <c r="D300" i="21"/>
  <c r="E300" i="21"/>
  <c r="F300" i="21"/>
  <c r="B301" i="21"/>
  <c r="A302" i="21"/>
  <c r="J301" i="21"/>
  <c r="K301" i="21"/>
  <c r="L301" i="21"/>
  <c r="M301" i="21"/>
  <c r="I302" i="21"/>
  <c r="H303" i="21"/>
  <c r="C301" i="21" l="1"/>
  <c r="D301" i="21"/>
  <c r="E301" i="21"/>
  <c r="F301" i="21"/>
  <c r="B302" i="21"/>
  <c r="A303" i="21"/>
  <c r="J302" i="21"/>
  <c r="K302" i="21"/>
  <c r="L302" i="21"/>
  <c r="M302" i="21"/>
  <c r="I303" i="21"/>
  <c r="H304" i="21"/>
  <c r="C302" i="21" l="1"/>
  <c r="D302" i="21"/>
  <c r="E302" i="21"/>
  <c r="F302" i="21"/>
  <c r="B303" i="21"/>
  <c r="A304" i="21"/>
  <c r="J303" i="21"/>
  <c r="K303" i="21"/>
  <c r="L303" i="21"/>
  <c r="M303" i="21"/>
  <c r="I304" i="21"/>
  <c r="H305" i="21"/>
  <c r="C303" i="21" l="1"/>
  <c r="D303" i="21"/>
  <c r="E303" i="21"/>
  <c r="F303" i="21"/>
  <c r="B304" i="21"/>
  <c r="A305" i="21"/>
  <c r="J304" i="21"/>
  <c r="K304" i="21"/>
  <c r="L304" i="21"/>
  <c r="M304" i="21"/>
  <c r="I305" i="21"/>
  <c r="H306" i="21"/>
  <c r="C304" i="21" l="1"/>
  <c r="D304" i="21"/>
  <c r="E304" i="21"/>
  <c r="F304" i="21"/>
  <c r="B305" i="21"/>
  <c r="A306" i="21"/>
  <c r="J305" i="21"/>
  <c r="K305" i="21"/>
  <c r="L305" i="21"/>
  <c r="M305" i="21"/>
  <c r="I306" i="21"/>
  <c r="H307" i="21"/>
  <c r="C305" i="21" l="1"/>
  <c r="D305" i="21"/>
  <c r="E305" i="21"/>
  <c r="F305" i="21"/>
  <c r="B306" i="21"/>
  <c r="A307" i="21"/>
  <c r="J306" i="21"/>
  <c r="K306" i="21"/>
  <c r="L306" i="21"/>
  <c r="M306" i="21"/>
  <c r="I307" i="21"/>
  <c r="H308" i="21"/>
  <c r="C306" i="21" l="1"/>
  <c r="D306" i="21"/>
  <c r="E306" i="21"/>
  <c r="F306" i="21"/>
  <c r="B307" i="21"/>
  <c r="A308" i="21"/>
  <c r="J307" i="21"/>
  <c r="K307" i="21"/>
  <c r="L307" i="21"/>
  <c r="M307" i="21"/>
  <c r="I308" i="21"/>
  <c r="H309" i="21"/>
  <c r="C307" i="21" l="1"/>
  <c r="D307" i="21"/>
  <c r="E307" i="21"/>
  <c r="F307" i="21"/>
  <c r="B308" i="21"/>
  <c r="A309" i="21"/>
  <c r="J308" i="21"/>
  <c r="K308" i="21"/>
  <c r="L308" i="21"/>
  <c r="M308" i="21"/>
  <c r="I309" i="21"/>
  <c r="H310" i="21"/>
  <c r="C308" i="21" l="1"/>
  <c r="D308" i="21"/>
  <c r="E308" i="21"/>
  <c r="F308" i="21"/>
  <c r="B309" i="21"/>
  <c r="A310" i="21"/>
  <c r="J309" i="21"/>
  <c r="K309" i="21"/>
  <c r="L309" i="21"/>
  <c r="M309" i="21"/>
  <c r="I310" i="21"/>
  <c r="H311" i="21"/>
  <c r="C309" i="21" l="1"/>
  <c r="D309" i="21"/>
  <c r="E309" i="21"/>
  <c r="F309" i="21"/>
  <c r="B310" i="21"/>
  <c r="A311" i="21"/>
  <c r="J310" i="21"/>
  <c r="K310" i="21"/>
  <c r="L310" i="21"/>
  <c r="M310" i="21"/>
  <c r="I311" i="21"/>
  <c r="H312" i="21"/>
  <c r="C310" i="21" l="1"/>
  <c r="D310" i="21"/>
  <c r="E310" i="21"/>
  <c r="F310" i="21"/>
  <c r="B311" i="21"/>
  <c r="A312" i="21"/>
  <c r="J311" i="21"/>
  <c r="K311" i="21"/>
  <c r="L311" i="21"/>
  <c r="M311" i="21"/>
  <c r="I312" i="21"/>
  <c r="H313" i="21"/>
  <c r="C311" i="21" l="1"/>
  <c r="D311" i="21"/>
  <c r="E311" i="21"/>
  <c r="F311" i="21"/>
  <c r="B312" i="21"/>
  <c r="A313" i="21"/>
  <c r="J312" i="21"/>
  <c r="K312" i="21"/>
  <c r="L312" i="21"/>
  <c r="M312" i="21"/>
  <c r="I313" i="21"/>
  <c r="H314" i="21"/>
  <c r="C312" i="21" l="1"/>
  <c r="D312" i="21"/>
  <c r="E312" i="21"/>
  <c r="F312" i="21"/>
  <c r="B313" i="21"/>
  <c r="A314" i="21"/>
  <c r="J313" i="21"/>
  <c r="K313" i="21"/>
  <c r="L313" i="21"/>
  <c r="M313" i="21"/>
  <c r="I314" i="21"/>
  <c r="H315" i="21"/>
  <c r="C313" i="21" l="1"/>
  <c r="D313" i="21"/>
  <c r="E313" i="21"/>
  <c r="F313" i="21"/>
  <c r="B314" i="21"/>
  <c r="A315" i="21"/>
  <c r="J314" i="21"/>
  <c r="K314" i="21"/>
  <c r="L314" i="21"/>
  <c r="M314" i="21"/>
  <c r="I315" i="21"/>
  <c r="H316" i="21"/>
  <c r="C314" i="21" l="1"/>
  <c r="D314" i="21"/>
  <c r="E314" i="21"/>
  <c r="F314" i="21"/>
  <c r="B315" i="21"/>
  <c r="A316" i="21"/>
  <c r="J315" i="21"/>
  <c r="K315" i="21"/>
  <c r="L315" i="21"/>
  <c r="M315" i="21"/>
  <c r="I316" i="21"/>
  <c r="H317" i="21"/>
  <c r="C315" i="21" l="1"/>
  <c r="D315" i="21"/>
  <c r="E315" i="21"/>
  <c r="F315" i="21"/>
  <c r="B316" i="21"/>
  <c r="A317" i="21"/>
  <c r="J316" i="21"/>
  <c r="K316" i="21"/>
  <c r="L316" i="21"/>
  <c r="M316" i="21"/>
  <c r="I317" i="21"/>
  <c r="H318" i="21"/>
  <c r="C316" i="21" l="1"/>
  <c r="D316" i="21"/>
  <c r="E316" i="21"/>
  <c r="F316" i="21"/>
  <c r="B317" i="21"/>
  <c r="A318" i="21"/>
  <c r="J317" i="21"/>
  <c r="K317" i="21"/>
  <c r="L317" i="21"/>
  <c r="M317" i="21"/>
  <c r="I318" i="21"/>
  <c r="H319" i="21"/>
  <c r="C317" i="21" l="1"/>
  <c r="D317" i="21"/>
  <c r="E317" i="21"/>
  <c r="F317" i="21"/>
  <c r="B318" i="21"/>
  <c r="A319" i="21"/>
  <c r="J318" i="21"/>
  <c r="K318" i="21"/>
  <c r="L318" i="21"/>
  <c r="M318" i="21"/>
  <c r="I319" i="21"/>
  <c r="H320" i="21"/>
  <c r="C318" i="21" l="1"/>
  <c r="D318" i="21"/>
  <c r="E318" i="21"/>
  <c r="F318" i="21"/>
  <c r="B319" i="21"/>
  <c r="A320" i="21"/>
  <c r="J319" i="21"/>
  <c r="K319" i="21"/>
  <c r="L319" i="21"/>
  <c r="M319" i="21"/>
  <c r="I320" i="21"/>
  <c r="H321" i="21"/>
  <c r="C319" i="21" l="1"/>
  <c r="D319" i="21"/>
  <c r="E319" i="21"/>
  <c r="F319" i="21"/>
  <c r="B320" i="21"/>
  <c r="A321" i="21"/>
  <c r="J320" i="21"/>
  <c r="K320" i="21"/>
  <c r="L320" i="21"/>
  <c r="M320" i="21"/>
  <c r="I321" i="21"/>
  <c r="H322" i="21"/>
  <c r="C320" i="21" l="1"/>
  <c r="D320" i="21"/>
  <c r="E320" i="21"/>
  <c r="F320" i="21"/>
  <c r="B321" i="21"/>
  <c r="A322" i="21"/>
  <c r="J321" i="21"/>
  <c r="K321" i="21"/>
  <c r="L321" i="21"/>
  <c r="M321" i="21"/>
  <c r="I322" i="21"/>
  <c r="H323" i="21"/>
  <c r="C321" i="21" l="1"/>
  <c r="D321" i="21"/>
  <c r="E321" i="21"/>
  <c r="F321" i="21"/>
  <c r="B322" i="21"/>
  <c r="A323" i="21"/>
  <c r="J322" i="21"/>
  <c r="K322" i="21"/>
  <c r="L322" i="21"/>
  <c r="M322" i="21"/>
  <c r="I323" i="21"/>
  <c r="H324" i="21"/>
  <c r="C322" i="21" l="1"/>
  <c r="D322" i="21"/>
  <c r="E322" i="21"/>
  <c r="F322" i="21"/>
  <c r="B323" i="21"/>
  <c r="A324" i="21"/>
  <c r="J323" i="21"/>
  <c r="K323" i="21"/>
  <c r="L323" i="21"/>
  <c r="M323" i="21"/>
  <c r="I324" i="21"/>
  <c r="H325" i="21"/>
  <c r="C323" i="21" l="1"/>
  <c r="D323" i="21"/>
  <c r="E323" i="21"/>
  <c r="F323" i="21"/>
  <c r="B324" i="21"/>
  <c r="A325" i="21"/>
  <c r="J324" i="21"/>
  <c r="K324" i="21"/>
  <c r="L324" i="21"/>
  <c r="M324" i="21"/>
  <c r="I325" i="21"/>
  <c r="H326" i="21"/>
  <c r="C324" i="21" l="1"/>
  <c r="D324" i="21"/>
  <c r="E324" i="21"/>
  <c r="F324" i="21"/>
  <c r="B325" i="21"/>
  <c r="A326" i="21"/>
  <c r="J325" i="21"/>
  <c r="K325" i="21"/>
  <c r="L325" i="21"/>
  <c r="M325" i="21"/>
  <c r="I326" i="21"/>
  <c r="H327" i="21"/>
  <c r="C325" i="21" l="1"/>
  <c r="D325" i="21"/>
  <c r="E325" i="21"/>
  <c r="F325" i="21"/>
  <c r="B326" i="21"/>
  <c r="A327" i="21"/>
  <c r="J326" i="21"/>
  <c r="K326" i="21"/>
  <c r="L326" i="21"/>
  <c r="M326" i="21"/>
  <c r="I327" i="21"/>
  <c r="H328" i="21"/>
  <c r="C326" i="21" l="1"/>
  <c r="D326" i="21"/>
  <c r="E326" i="21"/>
  <c r="F326" i="21"/>
  <c r="B327" i="21"/>
  <c r="A328" i="21"/>
  <c r="J327" i="21"/>
  <c r="K327" i="21"/>
  <c r="L327" i="21"/>
  <c r="M327" i="21"/>
  <c r="I328" i="21"/>
  <c r="H329" i="21"/>
  <c r="C327" i="21" l="1"/>
  <c r="D327" i="21"/>
  <c r="E327" i="21"/>
  <c r="F327" i="21"/>
  <c r="B328" i="21"/>
  <c r="A329" i="21"/>
  <c r="J328" i="21"/>
  <c r="K328" i="21"/>
  <c r="L328" i="21"/>
  <c r="M328" i="21"/>
  <c r="I329" i="21"/>
  <c r="H330" i="21"/>
  <c r="C328" i="21" l="1"/>
  <c r="D328" i="21"/>
  <c r="E328" i="21"/>
  <c r="F328" i="21"/>
  <c r="B329" i="21"/>
  <c r="A330" i="21"/>
  <c r="J329" i="21"/>
  <c r="K329" i="21"/>
  <c r="L329" i="21"/>
  <c r="M329" i="21"/>
  <c r="I330" i="21"/>
  <c r="H331" i="21"/>
  <c r="C329" i="21" l="1"/>
  <c r="D329" i="21"/>
  <c r="E329" i="21"/>
  <c r="F329" i="21"/>
  <c r="B330" i="21"/>
  <c r="A331" i="21"/>
  <c r="J330" i="21"/>
  <c r="K330" i="21"/>
  <c r="L330" i="21"/>
  <c r="M330" i="21"/>
  <c r="I331" i="21"/>
  <c r="H332" i="21"/>
  <c r="C330" i="21" l="1"/>
  <c r="D330" i="21"/>
  <c r="E330" i="21"/>
  <c r="F330" i="21"/>
  <c r="B331" i="21"/>
  <c r="A332" i="21"/>
  <c r="J331" i="21"/>
  <c r="K331" i="21"/>
  <c r="L331" i="21"/>
  <c r="M331" i="21"/>
  <c r="I332" i="21"/>
  <c r="H333" i="21"/>
  <c r="C331" i="21" l="1"/>
  <c r="D331" i="21"/>
  <c r="E331" i="21"/>
  <c r="F331" i="21"/>
  <c r="B332" i="21"/>
  <c r="A333" i="21"/>
  <c r="J332" i="21"/>
  <c r="K332" i="21"/>
  <c r="L332" i="21"/>
  <c r="M332" i="21"/>
  <c r="I333" i="21"/>
  <c r="H334" i="21"/>
  <c r="C332" i="21" l="1"/>
  <c r="D332" i="21"/>
  <c r="E332" i="21"/>
  <c r="F332" i="21"/>
  <c r="B333" i="21"/>
  <c r="A334" i="21"/>
  <c r="J333" i="21"/>
  <c r="K333" i="21"/>
  <c r="L333" i="21"/>
  <c r="M333" i="21"/>
  <c r="I334" i="21"/>
  <c r="H335" i="21"/>
  <c r="C333" i="21" l="1"/>
  <c r="D333" i="21"/>
  <c r="E333" i="21"/>
  <c r="F333" i="21"/>
  <c r="B334" i="21"/>
  <c r="A335" i="21"/>
  <c r="J334" i="21"/>
  <c r="K334" i="21"/>
  <c r="L334" i="21"/>
  <c r="M334" i="21"/>
  <c r="I335" i="21"/>
  <c r="H336" i="21"/>
  <c r="C334" i="21" l="1"/>
  <c r="D334" i="21"/>
  <c r="E334" i="21"/>
  <c r="F334" i="21"/>
  <c r="B335" i="21"/>
  <c r="A336" i="21"/>
  <c r="J335" i="21"/>
  <c r="K335" i="21"/>
  <c r="L335" i="21"/>
  <c r="M335" i="21"/>
  <c r="I336" i="21"/>
  <c r="H337" i="21"/>
  <c r="C335" i="21" l="1"/>
  <c r="D335" i="21"/>
  <c r="E335" i="21"/>
  <c r="F335" i="21"/>
  <c r="B336" i="21"/>
  <c r="A337" i="21"/>
  <c r="J336" i="21"/>
  <c r="K336" i="21"/>
  <c r="L336" i="21"/>
  <c r="M336" i="21"/>
  <c r="I337" i="21"/>
  <c r="H338" i="21"/>
  <c r="C336" i="21" l="1"/>
  <c r="D336" i="21"/>
  <c r="E336" i="21"/>
  <c r="F336" i="21"/>
  <c r="B337" i="21"/>
  <c r="A338" i="21"/>
  <c r="J337" i="21"/>
  <c r="K337" i="21"/>
  <c r="L337" i="21"/>
  <c r="M337" i="21"/>
  <c r="I338" i="21"/>
  <c r="H339" i="21"/>
  <c r="C337" i="21" l="1"/>
  <c r="D337" i="21"/>
  <c r="E337" i="21"/>
  <c r="F337" i="21"/>
  <c r="B338" i="21"/>
  <c r="A339" i="21"/>
  <c r="J338" i="21"/>
  <c r="K338" i="21"/>
  <c r="L338" i="21"/>
  <c r="M338" i="21"/>
  <c r="I339" i="21"/>
  <c r="H340" i="21"/>
  <c r="C338" i="21" l="1"/>
  <c r="D338" i="21"/>
  <c r="E338" i="21"/>
  <c r="F338" i="21"/>
  <c r="B339" i="21"/>
  <c r="A340" i="21"/>
  <c r="J339" i="21"/>
  <c r="K339" i="21"/>
  <c r="L339" i="21"/>
  <c r="M339" i="21"/>
  <c r="I340" i="21"/>
  <c r="H341" i="21"/>
  <c r="C339" i="21" l="1"/>
  <c r="D339" i="21"/>
  <c r="E339" i="21"/>
  <c r="F339" i="21"/>
  <c r="B340" i="21"/>
  <c r="A341" i="21"/>
  <c r="J340" i="21"/>
  <c r="K340" i="21"/>
  <c r="L340" i="21"/>
  <c r="M340" i="21"/>
  <c r="I341" i="21"/>
  <c r="H342" i="21"/>
  <c r="C340" i="21" l="1"/>
  <c r="D340" i="21"/>
  <c r="E340" i="21"/>
  <c r="F340" i="21"/>
  <c r="B341" i="21"/>
  <c r="A342" i="21"/>
  <c r="J341" i="21"/>
  <c r="K341" i="21"/>
  <c r="L341" i="21"/>
  <c r="M341" i="21"/>
  <c r="I342" i="21"/>
  <c r="H343" i="21"/>
  <c r="C341" i="21" l="1"/>
  <c r="D341" i="21"/>
  <c r="E341" i="21"/>
  <c r="F341" i="21"/>
  <c r="B342" i="21"/>
  <c r="A343" i="21"/>
  <c r="L342" i="21"/>
  <c r="J342" i="21"/>
  <c r="M342" i="21"/>
  <c r="K342" i="21"/>
  <c r="H344" i="21"/>
  <c r="I343" i="21"/>
  <c r="C342" i="21" l="1"/>
  <c r="D342" i="21"/>
  <c r="E342" i="21"/>
  <c r="F342" i="21"/>
  <c r="B343" i="21"/>
  <c r="A344" i="21"/>
  <c r="H345" i="21"/>
  <c r="I344" i="21"/>
  <c r="M343" i="21"/>
  <c r="K343" i="21"/>
  <c r="J343" i="21"/>
  <c r="L343" i="21"/>
  <c r="F343" i="21" l="1"/>
  <c r="D343" i="21"/>
  <c r="C343" i="21"/>
  <c r="E343" i="21"/>
  <c r="A345" i="21"/>
  <c r="B344" i="21"/>
  <c r="H346" i="21"/>
  <c r="I345" i="21"/>
  <c r="J344" i="21"/>
  <c r="M344" i="21"/>
  <c r="K344" i="21"/>
  <c r="L344" i="21"/>
  <c r="A346" i="21" l="1"/>
  <c r="B345" i="21"/>
  <c r="E344" i="21"/>
  <c r="D344" i="21"/>
  <c r="C344" i="21"/>
  <c r="F344" i="21"/>
  <c r="H347" i="21"/>
  <c r="I346" i="21"/>
  <c r="L345" i="21"/>
  <c r="J345" i="21"/>
  <c r="K345" i="21"/>
  <c r="M345" i="21"/>
  <c r="A347" i="21" l="1"/>
  <c r="B346" i="21"/>
  <c r="C345" i="21"/>
  <c r="F345" i="21"/>
  <c r="D345" i="21"/>
  <c r="E345" i="21"/>
  <c r="I347" i="21"/>
  <c r="H348" i="21"/>
  <c r="M346" i="21"/>
  <c r="L346" i="21"/>
  <c r="J346" i="21"/>
  <c r="K346" i="21"/>
  <c r="B347" i="21" l="1"/>
  <c r="A348" i="21"/>
  <c r="D346" i="21"/>
  <c r="C346" i="21"/>
  <c r="E346" i="21"/>
  <c r="F346" i="21"/>
  <c r="J347" i="21"/>
  <c r="L347" i="21"/>
  <c r="K347" i="21"/>
  <c r="M347" i="21"/>
  <c r="I348" i="21"/>
  <c r="H349" i="21"/>
  <c r="F347" i="21" l="1"/>
  <c r="D347" i="21"/>
  <c r="E347" i="21"/>
  <c r="C347" i="21"/>
  <c r="B348" i="21"/>
  <c r="A349" i="21"/>
  <c r="J348" i="21"/>
  <c r="L348" i="21"/>
  <c r="K348" i="21"/>
  <c r="M348" i="21"/>
  <c r="I349" i="21"/>
  <c r="H350" i="21"/>
  <c r="D348" i="21" l="1"/>
  <c r="C348" i="21"/>
  <c r="F348" i="21"/>
  <c r="E348" i="21"/>
  <c r="B349" i="21"/>
  <c r="A350" i="21"/>
  <c r="M349" i="21"/>
  <c r="J349" i="21"/>
  <c r="L349" i="21"/>
  <c r="K349" i="21"/>
  <c r="H351" i="21"/>
  <c r="I350" i="21"/>
  <c r="F349" i="21" l="1"/>
  <c r="D349" i="21"/>
  <c r="E349" i="21"/>
  <c r="C349" i="21"/>
  <c r="A351" i="21"/>
  <c r="B350" i="21"/>
  <c r="I351" i="21"/>
  <c r="H352" i="21"/>
  <c r="J350" i="21"/>
  <c r="K350" i="21"/>
  <c r="M350" i="21"/>
  <c r="L350" i="21"/>
  <c r="A352" i="21" l="1"/>
  <c r="B351" i="21"/>
  <c r="F350" i="21"/>
  <c r="E350" i="21"/>
  <c r="C350" i="21"/>
  <c r="D350" i="21"/>
  <c r="L351" i="21"/>
  <c r="J351" i="21"/>
  <c r="M351" i="21"/>
  <c r="K351" i="21"/>
  <c r="I352" i="21"/>
  <c r="H353" i="21"/>
  <c r="A353" i="21" l="1"/>
  <c r="B352" i="21"/>
  <c r="C351" i="21"/>
  <c r="F351" i="21"/>
  <c r="D351" i="21"/>
  <c r="E351" i="21"/>
  <c r="M352" i="21"/>
  <c r="J352" i="21"/>
  <c r="K352" i="21"/>
  <c r="L352" i="21"/>
  <c r="I353" i="21"/>
  <c r="H354" i="21"/>
  <c r="B353" i="21" l="1"/>
  <c r="A354" i="21"/>
  <c r="E352" i="21"/>
  <c r="F352" i="21"/>
  <c r="C352" i="21"/>
  <c r="D352" i="21"/>
  <c r="J353" i="21"/>
  <c r="K353" i="21"/>
  <c r="L353" i="21"/>
  <c r="M353" i="21"/>
  <c r="H355" i="21"/>
  <c r="I354" i="21"/>
  <c r="D353" i="21" l="1"/>
  <c r="E353" i="21"/>
  <c r="F353" i="21"/>
  <c r="C353" i="21"/>
  <c r="B354" i="21"/>
  <c r="A355" i="21"/>
  <c r="I355" i="21"/>
  <c r="H356" i="21"/>
  <c r="J354" i="21"/>
  <c r="L354" i="21"/>
  <c r="K354" i="21"/>
  <c r="M354" i="21"/>
  <c r="D354" i="21" l="1"/>
  <c r="C354" i="21"/>
  <c r="E354" i="21"/>
  <c r="F354" i="21"/>
  <c r="B355" i="21"/>
  <c r="A356" i="21"/>
  <c r="K355" i="21"/>
  <c r="L355" i="21"/>
  <c r="M355" i="21"/>
  <c r="J355" i="21"/>
  <c r="H357" i="21"/>
  <c r="I356" i="21"/>
  <c r="D355" i="21" l="1"/>
  <c r="E355" i="21"/>
  <c r="C355" i="21"/>
  <c r="F355" i="21"/>
  <c r="A357" i="21"/>
  <c r="B356" i="21"/>
  <c r="I357" i="21"/>
  <c r="H358" i="21"/>
  <c r="J356" i="21"/>
  <c r="M356" i="21"/>
  <c r="K356" i="21"/>
  <c r="L356" i="21"/>
  <c r="B357" i="21" l="1"/>
  <c r="A358" i="21"/>
  <c r="C356" i="21"/>
  <c r="D356" i="21"/>
  <c r="F356" i="21"/>
  <c r="E356" i="21"/>
  <c r="M357" i="21"/>
  <c r="J357" i="21"/>
  <c r="L357" i="21"/>
  <c r="K357" i="21"/>
  <c r="I358" i="21"/>
  <c r="H359" i="21"/>
  <c r="C357" i="21" l="1"/>
  <c r="D357" i="21"/>
  <c r="F357" i="21"/>
  <c r="E357" i="21"/>
  <c r="A359" i="21"/>
  <c r="B358" i="21"/>
  <c r="L358" i="21"/>
  <c r="M358" i="21"/>
  <c r="J358" i="21"/>
  <c r="K358" i="21"/>
  <c r="H360" i="21"/>
  <c r="I359" i="21"/>
  <c r="B359" i="21" l="1"/>
  <c r="A360" i="21"/>
  <c r="F358" i="21"/>
  <c r="C358" i="21"/>
  <c r="D358" i="21"/>
  <c r="E358" i="21"/>
  <c r="H361" i="21"/>
  <c r="I360" i="21"/>
  <c r="K359" i="21"/>
  <c r="L359" i="21"/>
  <c r="J359" i="21"/>
  <c r="M359" i="21"/>
  <c r="D359" i="21" l="1"/>
  <c r="F359" i="21"/>
  <c r="C359" i="21"/>
  <c r="E359" i="21"/>
  <c r="B360" i="21"/>
  <c r="A361" i="21"/>
  <c r="H362" i="21"/>
  <c r="I361" i="21"/>
  <c r="J360" i="21"/>
  <c r="M360" i="21"/>
  <c r="K360" i="21"/>
  <c r="L360" i="21"/>
  <c r="C360" i="21" l="1"/>
  <c r="D360" i="21"/>
  <c r="E360" i="21"/>
  <c r="F360" i="21"/>
  <c r="B361" i="21"/>
  <c r="A362" i="21"/>
  <c r="H363" i="21"/>
  <c r="I362" i="21"/>
  <c r="J361" i="21"/>
  <c r="M361" i="21"/>
  <c r="K361" i="21"/>
  <c r="L361" i="21"/>
  <c r="F361" i="21" l="1"/>
  <c r="D361" i="21"/>
  <c r="E361" i="21"/>
  <c r="C361" i="21"/>
  <c r="B362" i="21"/>
  <c r="A363" i="21"/>
  <c r="H364" i="21"/>
  <c r="I363" i="21"/>
  <c r="J362" i="21"/>
  <c r="K362" i="21"/>
  <c r="M362" i="21"/>
  <c r="L362" i="21"/>
  <c r="C362" i="21" l="1"/>
  <c r="F362" i="21"/>
  <c r="D362" i="21"/>
  <c r="E362" i="21"/>
  <c r="B363" i="21"/>
  <c r="A364" i="21"/>
  <c r="H365" i="21"/>
  <c r="I364" i="21"/>
  <c r="J363" i="21"/>
  <c r="L363" i="21"/>
  <c r="K363" i="21"/>
  <c r="M363" i="21"/>
  <c r="E363" i="21" l="1"/>
  <c r="D363" i="21"/>
  <c r="F363" i="21"/>
  <c r="C363" i="21"/>
  <c r="A365" i="21"/>
  <c r="B364" i="21"/>
  <c r="I365" i="21"/>
  <c r="H366" i="21"/>
  <c r="K364" i="21"/>
  <c r="J364" i="21"/>
  <c r="L364" i="21"/>
  <c r="M364" i="21"/>
  <c r="A366" i="21" l="1"/>
  <c r="B365" i="21"/>
  <c r="F364" i="21"/>
  <c r="D364" i="21"/>
  <c r="E364" i="21"/>
  <c r="C364" i="21"/>
  <c r="M365" i="21"/>
  <c r="J365" i="21"/>
  <c r="L365" i="21"/>
  <c r="K365" i="21"/>
  <c r="I366" i="21"/>
  <c r="H367" i="21"/>
  <c r="B366" i="21" l="1"/>
  <c r="A367" i="21"/>
  <c r="D365" i="21"/>
  <c r="E365" i="21"/>
  <c r="C365" i="21"/>
  <c r="F365" i="21"/>
  <c r="K366" i="21"/>
  <c r="L366" i="21"/>
  <c r="J366" i="21"/>
  <c r="M366" i="21"/>
  <c r="I367" i="21"/>
  <c r="H368" i="21"/>
  <c r="I368" i="21" s="1"/>
  <c r="E366" i="21" l="1"/>
  <c r="C366" i="21"/>
  <c r="D366" i="21"/>
  <c r="F366" i="21"/>
  <c r="A368" i="21"/>
  <c r="B368" i="21" s="1"/>
  <c r="B367" i="21"/>
  <c r="M367" i="21"/>
  <c r="L367" i="21"/>
  <c r="J367" i="21"/>
  <c r="K367" i="21"/>
  <c r="M368" i="21"/>
  <c r="L368" i="21"/>
  <c r="K368" i="21"/>
  <c r="J368" i="21"/>
  <c r="F368" i="21" l="1"/>
  <c r="C368" i="21"/>
  <c r="D368" i="21"/>
  <c r="E368" i="21"/>
  <c r="D367" i="21"/>
  <c r="E367" i="21"/>
  <c r="C367" i="21"/>
  <c r="F367"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tc={35485D27-C868-4C50-939A-3E504EDCC1D4}</author>
    <author>tc={09D983EE-DC8F-4D3D-AE55-134B236AD978}</author>
    <author>tc={9A5773F7-6CD4-4DE0-82E6-428B972FC40F}</author>
  </authors>
  <commentList>
    <comment ref="B19" authorId="0" shapeId="0" xr:uid="{35485D27-C868-4C50-939A-3E504EDCC1D4}">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@Leon Williams Can you please review that this Authentication/authorization and account management section is correct, especially the rows that have been highlighted in yellow? Need to turn this around to Jason by end of the week ideally.
Reply:
    Yellow are confirmed</t>
      </text>
    </comment>
    <comment ref="D38" authorId="1" shapeId="0" xr:uid="{09D983EE-DC8F-4D3D-AE55-134B236AD978}">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@Matthew Spindler  Can you please sense-check this data section of the Product sheet (except for the item in yellow which Simon is confirming). It looks alright to me but there are specifics of encryption algorithms and such that I’m not familiar with. Need to turn this back around to Jason by end of the week</t>
      </text>
    </comment>
    <comment ref="D50" authorId="2" shapeId="0" xr:uid="{9A5773F7-6CD4-4DE0-82E6-428B972FC40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@Simon Olivari Can you please confirm if this is correct?
Reply:
    Need to turn this back around to Jason by end of the week</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tc={006D4F1A-7BB2-41D4-8048-4535DC4CDA21}</author>
  </authors>
  <commentList>
    <comment ref="D97" authorId="0" shapeId="0" xr:uid="{006D4F1A-7BB2-41D4-8048-4535DC4CDA21}">
      <text>
        <t>[Threaded comment]
Your version of Excel allows you to read this threaded comment; however, any edits to it will get removed if the file is opened in a newer version of Excel. Learn more: https://go.microsoft.com/fwlink/?linkid=870924
Comment:
    @Wendy Goodier  @Martyn Simpson  Yes it’s opt-in by default but we also do give the ability to opt out - feel like we should say that?
Reply:
    Where do we give the option to opt-out?  Is that at tenancy level?  We should add whatever is factually correct.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tc={4A0CC0DA-6623-4115-B60A-38E5EC6CE394}</author>
  </authors>
  <commentList>
    <comment ref="C11" authorId="0" shapeId="0" xr:uid="{A15F862D-944E-4E3B-B2ED-F4101CBC2539}">
      <text>
        <r>
          <rPr>
            <sz val="10"/>
            <color rgb="FF000000"/>
            <rFont val="Aptos Narrow"/>
            <family val="2"/>
            <scheme val="minor"/>
          </rPr>
          <t>Open ended, all countries where employees work
	-Nichole Arbino
Stays in GNRL
	-Nichole Arbino</t>
        </r>
      </text>
    </comment>
    <comment ref="C49" authorId="1" shapeId="0" xr:uid="{4A0CC0DA-6623-4115-B60A-38E5EC6CE394}">
      <text>
        <t>[Threaded comment]
Your version of Excel allows you to read this threaded comment; however, any edits to it will get removed if the file is opened in a newer version of Excel. Learn more: https://go.microsoft.com/fwlink/?linkid=870924
Comment:
    This question will be reworded with a preferred answer of no. That is reflected in column T, but the new verbiage should come Monday.</t>
      </text>
    </comment>
  </commentList>
</comments>
</file>

<file path=xl/sharedStrings.xml><?xml version="1.0" encoding="utf-8"?>
<sst xmlns="http://schemas.openxmlformats.org/spreadsheetml/2006/main" count="6357" uniqueCount="2158">
  <si>
    <t xml:space="preserve">Cells contained in this worksheet may contain cells with dropdown lists as well as autopopulated formulas. </t>
  </si>
  <si>
    <r>
      <t xml:space="preserve">HECVAT™ Solution Provider Response - </t>
    </r>
    <r>
      <rPr>
        <b/>
        <i/>
        <sz val="20"/>
        <color theme="0"/>
        <rFont val="Verdana"/>
        <family val="2"/>
      </rPr>
      <t>Start Here</t>
    </r>
  </si>
  <si>
    <t>Date Completed</t>
  </si>
  <si>
    <t>Instructions for Solution Providers</t>
  </si>
  <si>
    <t>GNRL-01</t>
  </si>
  <si>
    <t>Preservica Inc</t>
  </si>
  <si>
    <t>GNRL-02</t>
  </si>
  <si>
    <t>Preservica Pro, Preservica Pro Plus, Preservica Enterprise, Preservica Enterprise Plus - v9.x</t>
  </si>
  <si>
    <t>GNRL-03</t>
  </si>
  <si>
    <t>Preservica combines all the core requirements for successful long-term active digital preservation – including public and secure access - into a single integrated application that can be quickly deployed and hosted in the cloud.</t>
  </si>
  <si>
    <t>GNRL-04</t>
  </si>
  <si>
    <t>Sales</t>
  </si>
  <si>
    <t>GNRL-05</t>
  </si>
  <si>
    <t>GNRL-06</t>
  </si>
  <si>
    <t>Sales@preservica.com</t>
  </si>
  <si>
    <t>GNRL-07</t>
  </si>
  <si>
    <t>781-983-4229</t>
  </si>
  <si>
    <t>GNRL-08</t>
  </si>
  <si>
    <t>UK</t>
  </si>
  <si>
    <t>GNRL-09</t>
  </si>
  <si>
    <t>USA, UK</t>
  </si>
  <si>
    <t>Answer</t>
  </si>
  <si>
    <t>Additional Information</t>
  </si>
  <si>
    <t>Guidance</t>
  </si>
  <si>
    <t>Analyst Notes</t>
  </si>
  <si>
    <t>COMP-01</t>
  </si>
  <si>
    <t>Yes</t>
  </si>
  <si>
    <t>Preservica maintains dedicated and separate Software Development, Quality Assurance, Customer Support, Implementation (Customer Success) and Product Management teams. All product development, testing and quality assurance is performed by Preservica personnel located in the United Kingdom and the United States; Preservica does not use outsourced or offshore development. Development, testing and QA activity is governed by Preservica's Secure Development Policy, which applies to all employees, contractors and sub-contractors performing that work. Preservica does not publish team sizes.</t>
  </si>
  <si>
    <t>COMP-02</t>
  </si>
  <si>
    <t>Preservica Inc is a wholly owned subsidiary of Preservica Limited, which is based in the United Kingdom. There are no other parent or subsidiary relationships. Support and operations are provided from the United States and the United Kingdom depending on the edition selected by the customer. Addressing the multinational aspects specifically: Preservica does not use outsourced or offshore development, and all development, testing and quality assurance is performed by Preservica personnel in the United Kingdom and the United States. Customer data is stored and processed only within the geographic region specified in the Data Residency section of the customer's Order Form; this is a contractual and enforceable commitment. Where access to customer data is required it may be performed by authorised personnel based in the United Kingdom or the United States, is not routine, and is subject to access control, logging and oversight. Preservica's sub-processors are Amazon Web Services or Microsoft Azure as specified in the Order Form, together with Cloudflare for Professional edition and above; sub-processors are used in a region-dependent manner consistent with the customer's contracted data residency. Preservica accepts responsibility for its sub-processors under its standard Terms and Conditions.</t>
  </si>
  <si>
    <t>COMP-03</t>
  </si>
  <si>
    <t>Preservica provides an Application Availability SLA of 99.5%, measured monthly and excluding planned maintenance and other agreed exclusions. Preservica has met or exceeded that SLA throughout the prior 12 months.</t>
  </si>
  <si>
    <t>COMP-04</t>
  </si>
  <si>
    <t>Preservica has a dedicated Information Security function led by the Chief Information Security Officer, who is responsible for the implementation and monitoring of Preservica's Information Security Program. Ultimate responsibility rests with the Chief Executive Officer and the Board, as documented in Preservica's approved Governance Charter. Day-to-day operation of the programme is managed by the CISO. Independent oversight is provided by Preservica's Leadership Team at an annual Management Review, by the Board annually, on an ad-hoc basis by the Leadership Team in response to changes in the environment or to incidents, and by Preservica's internal and external auditors in alignment with its certification and compliance obligations. Preservica has also appointed a Data Protection Officer, contactable at Privacy@preservica.com. Preservica does not publish the size of its Information Security function.</t>
  </si>
  <si>
    <t>COMP-05</t>
  </si>
  <si>
    <t>Preservica is a SaaS application used for long-term digital preservation and archiving of information assets. Preservica holds ISO/IEC 27001:2022 (information security management) and ISO 9001:2015 (quality management) certifications, UK NCSC Cyber Essentials and Cyber Essentials Plus certification, and TX-RAMP and AZRAMP certifications under the respective US state cloud security programmes. Preservica also undergoes an annual SOC 2 Type II audit, with a report period running from October to September each year. Preservica has adopted WCAG 2.2 Level AA as its accessibility conformance standard, and an accessibility statement and current VPAT are published. Certificates and compliance documentation, including the Information Security Policy and the Shared Responsibility Model, are available via Preservica's Trust Center at https://preservica.com/trust-center, accessible free of charge. The service is hosted on Amazon Web Services or Microsoft Azure infrastructure depending on the customer's configuration; Cloudflare is additionally used for Professional edition and above. Preservica does not operate its own data centres. Responsibilities are set out in Preservica's Shared Responsibility Model: https://website-assets.preservica.com/production/resources/Shared-Responsibility-Model-Global-v1.1.pdf</t>
  </si>
  <si>
    <t>End Table Data</t>
  </si>
  <si>
    <t>REQU-01</t>
  </si>
  <si>
    <t>Preservica is delivered as a cloud-based, commercial-off-the-shelf product under a Software as a Service model, hosted on third-party cloud infrastructure — Amazon Web Services or Microsoft Azure, depending on the institution's configuration. Preservica does not operate its own data centres. Professional Services are available in addition, to support institutions in adopting the product. The division of responsibilities between Preservica and the institution is set out in Preservica's Shared Responsibility Model, published at https://website-assets.preservica.com/production/resources/Shared-Responsibility-Model-Global-v1.1.pdf.</t>
  </si>
  <si>
    <t>REQU-02</t>
  </si>
  <si>
    <t>Preservica's SaaS solutions are accessible via all modern web browsers over the internet, over TLS 1.2 or TLS 1.3 only. Preservica also exposes a documented set of REST APIs, publicly documented at https://developers.preservica.com/. Preservica has adopted WCAG 2.2 Level AA as its accessibility conformance standard; an accessibility statement and the current VPAT are available from Preservica's Trust Center at https://preservica.com/trust-center, and accessibility enquiries can be directed to accessibility@preservica.com.</t>
  </si>
  <si>
    <t>REQU-03</t>
  </si>
  <si>
    <t>Preservica refers to these as Professional Services.</t>
  </si>
  <si>
    <t>REQU-04</t>
  </si>
  <si>
    <t>Preservica offers opt-in AI capabilities for archival workflows, including OCR, PII identification, image description, audio and video transcription, and metadata quality checks. No AI processing occurs by default — features must be explicitly enabled by the customer, and outputs are presented for human review rather than acted on autonomously. The specific features available depend on product edition and configuration.</t>
  </si>
  <si>
    <t>REQU-05</t>
  </si>
  <si>
    <t>No</t>
  </si>
  <si>
    <t>REQU-06</t>
  </si>
  <si>
    <t>The solution is not designed to process, store or transmit credit card information, and Preservica's service is not PCI-DSS compliant, as there is not normally a case for digital preservation of Cardholder Data as defined in PCI-DSS. Customers should not store any such data within the service.</t>
  </si>
  <si>
    <t>REQU-07</t>
  </si>
  <si>
    <t>Preservica is delivered as a cloud-hosted SaaS service accessed over HTTPS from the user's web browser or via Preservica's documented REST APIs. No physical or virtual appliance is deployed in the institution's environment, and no inbound firewall exception in the institution's environment is required for Preservica personnel to administer the service. Preservica administers only its own hosted infrastructure. Under Preservica's Shared Responsibility Model the institution remains responsible for endpoint protection on the devices used to access the service: https://website-assets.preservica.com/production/resources/Shared-Responsibility-Model-Global-v1.1.pdf</t>
  </si>
  <si>
    <t>REQU-08</t>
  </si>
  <si>
    <t>Preservica does not prescribe or restrict the types of data customers choose to store in the platform. Customers determine the classification and sensitivity of the data they store, and are responsible for ensuring its use complies with their own legal and regulatory obligations. In respect of customer data held in the platform, Preservica acts as Processor and processes it only to provide the contracted service, on the customer's instructions and as required by applicable law. Customers retain ownership and control of their data at all times.</t>
  </si>
  <si>
    <t xml:space="preserve">Note: The "Organization" tab is required for ALL products and services. </t>
  </si>
  <si>
    <t>Copyright © 2025 EDUCAUSE</t>
  </si>
  <si>
    <r>
      <t xml:space="preserve">HECVAT Solution Provider Response - </t>
    </r>
    <r>
      <rPr>
        <b/>
        <i/>
        <sz val="20"/>
        <color theme="0"/>
        <rFont val="Verdana"/>
        <family val="2"/>
      </rPr>
      <t>Organization</t>
    </r>
  </si>
  <si>
    <t>DOCU-01</t>
  </si>
  <si>
    <t>Preservica maintains a documented Business Continuity Plan. Ownership: business continuity is overseen by the Chief Financial Officer, supported by the CISO, with ultimate responsibility resting with the Chief Executive Officer and the Board. Testing: the plan is tested at least annually, either as a tabletop exercise or as a live/technical exercise; where the plan has been invoked in response to a real event, that event may be used in place of a scheduled exercise. The plan is updated following any test that produces findings and is in any case reviewed and updated at least annually. Business continuity falls within the scope of Preservica's ISO/IEC 27001:2022 certification and is independently tested as part of Preservica's SOC 2 Type II audit.</t>
  </si>
  <si>
    <t>DOCU-02</t>
  </si>
  <si>
    <t>Preservica maintains documented disaster recovery plans and testing procedures for both its AWS- and Azure-hosted environments. Ownership: disaster recovery is owned by Preservica's Operations Director. Objectives: Preservica's standard contractual obligations are a Recovery Time Objective of 4 hours and a Recovery Point Objective of 24 hours. Testing: these objectives are exercised semi-annually — that is, more frequently than annually — and the effectiveness of the underlying controls is independently audited as part of Preservica's SOC 2 Type II report. Resilience and recovery measures are designed so that customer data remains within the contracted residency region, without cross-region movement outside agreed jurisdictional boundaries. Detailed backup and recovery implementation methods, including retention schedules, are not publicly disclosed; customers should rely on the RTO and RPO commitments and the independent SOC 2 assurance over them. Data integrity is separately assured by the platform's fixity checking, which validates or generates a hash of each file at ingest and periodically re-verifies every stored file against the value on record.</t>
  </si>
  <si>
    <t>DOCU-03</t>
  </si>
  <si>
    <t>Preservica undergoes an annual SOC 2 Type II audit. The report period runs from October to September each year, and the current report is available on request via Preservica's Trust Center at https://preservica.com/trust-center. The subject of the audit is Preservica and the Preservica service. Preservica's cloud infrastructure providers, Amazon Web Services and Microsoft Azure, are audited separately under their own independently audited certifications and attestations, which Preservica reviews at least annually as part of its critical supplier review process; Preservica does not operate its own data centres.</t>
  </si>
  <si>
    <t>DOCU-04</t>
  </si>
  <si>
    <t>Preservica conforms to ISO/IEC 27001:2022 for information security management and ISO 9001:2015 for quality management, and holds UK NCSC Cyber Essentials and Cyber Essentials Plus certification. Preservica also holds TX-RAMP and AZRAMP certifications under the respective US state cloud security programmes, and undergoes an annual SOC 2 Type II audit. Preservica's Information Security Management System is supported by a documented policy library with an assigned Owner and Approver for every policy and procedure; all policies and procedures are reviewed at least annually, on material change to the environment, or in response to an incident. All of Preservica's accreditations, certifications and reports are available from Preservica's Trust Center at https://preservica.com/trust-center.</t>
  </si>
  <si>
    <t>DOCU-05</t>
  </si>
  <si>
    <t>DOCU-06</t>
  </si>
  <si>
    <t>Yes. Preservica's Privacy Policy and GDPR Policy are both available via Preservica's Trust Center at https://preservica.com/trust-center, and the privacy notice is published at https://preservica.com/privacy-notice. In respect of customer data held in the platform Preservica acts as Processor; Preservica acts as Controller for the limited personal data required to manage the commercial relationship with the customer. Preservica has appointed a Data Protection Officer, contactable at Privacy@preservica.com.</t>
  </si>
  <si>
    <t>DOCU-07</t>
  </si>
  <si>
    <t>Yes. Preservica maintains documented New Starter and Leaver IT procedures governing the joiner, mover and leaver lifecycle. Microsoft Entra ID is the central identity directory and all employees are issued an Entra ID account by default; systems are integrated with Entra ID via Single Sign-On wherever technically feasible. Provisioning and de-provisioning are initiated through the internal helpdesk on request from Human Resources or the user's line manager. Access to additional systems is requested by the employee or their line manager and approved by the line manager or a member of the Leadership Team — self-approval is not permitted — and created by the owner of the relevant system. On leaving, the user's Entra ID account is disabled, which immediately prevents authentication to all SSO-integrated systems; remaining access is removed under the Leaver IT procedure on written line-manager authorisation, with removals recorded. Company assets are returned and recorded on termination, with laptops reset and user data securely wiped before reuse or disposal. All staff are screened before employment or engagement, and all employees read and acknowledge Preservica's core policies on hire and annually thereafter. These provisioning, de-provisioning and review controls fall within the scope of Preservica's ISO/IEC 27001:2022 certification and are described and independently tested in Preservica's SOC 2 Type II report.</t>
  </si>
  <si>
    <t>THRD-01</t>
  </si>
  <si>
    <t>Yes. Third parties with which Preservica shares data are governed by Preservica's Supplier Management Policy and reviewed at least annually under its critical supplier review process, which is required by Preservica's ISO/IEC 27001:2022 and ISO 9001:2015 certified management systems and is further audited as part of Preservica's SOC 2 Type II report. For Preservica's cloud infrastructure providers, physical security of the data centre facilities is the provider's responsibility under their own independently audited certifications and attestations, such as ISO 27001 and SOC 2; Preservica reviews those certifications and attestations at least annually. Preservica does not operate its own data centres. Preservica accepts responsibility for its sub-processors under its standard Terms and Conditions. Preservica also ensures, through contractual or equivalent means, that third parties and consultants receive security awareness training equal to or greater than that required of Preservica's own employees.</t>
  </si>
  <si>
    <t>THRD-02</t>
  </si>
  <si>
    <t>Yes. Preservica's sub-processors, and the reason institutional data is shared with each, are: Amazon Web Services — cloud infrastructure hosting the SaaS application and the storage of customer content, where selected in the customer's Order Form; Microsoft Azure — cloud infrastructure hosting the SaaS application and the storage of customer content, where selected in the customer's Order Form; Cloudflare — edge network services including web application firewall and DDoS protection for customer production domains, applicable to Professional edition and above. Sub-processors are approved and used in a region-dependent manner consistent with the customer's contracted data residency requirements, and Preservica accepts responsibility for its sub-processors under its standard Terms and Conditions.</t>
  </si>
  <si>
    <t>THRD-03</t>
  </si>
  <si>
    <t>Yes. Preservica accepts responsibility for its sub-processors under its standard Terms and Conditions, so the institution's contractual recourse in the event of a breach involving a sub-processor is to Preservica. Preservica's own standard Terms and Conditions set out its data breach obligations to the customer, including notification commitments. Preservica's contracts with its hyperscale cloud infrastructure providers are those providers' standard terms, which are not individually negotiable by any customer at that scale; assurance over those providers is obtained instead through their independently audited certifications and attestations, reviewed by Preservica at least annually.</t>
  </si>
  <si>
    <t>THRD-04</t>
  </si>
  <si>
    <t>Yes. Third-party management is governed by Preservica's Supplier Management Policy and supporting Supplier Management Procedure, operating within Preservica's ISO/IEC 27001:2022 and ISO 9001:2015 certified management systems and further audited as part of Preservica's SOC 2 Type II report. Critical suppliers are reviewed at least annually, with the review covering their independently audited certifications and attestations. In the context of the service itself, Preservica's third-party dependency is limited: the service is hosted on Amazon Web Services or Microsoft Azure with Cloudflare edge services for Professional edition and above, Preservica does not operate its own data centres, and Preservica does not use outsourced or offshore development.</t>
  </si>
  <si>
    <t>THRD-05</t>
  </si>
  <si>
    <t>No hardware forms part of the Preservica SaaS service — Preservica does not operate its own data centres, and the physical infrastructure underlying the service is owned, procured and maintained by Amazon Web Services or Microsoft Azure under their own independently audited certifications and attestations, which Preservica reviews at least annually. SaaS infrastructure assets are tracked through the cloud service provider's portal and asset management tooling. Preservica does operate documented asset management processes for its own corporate IT equipment: physical IT equipment is tracked in an asset management system with a designated owner, the asset register is reviewed annually and the asset management system at least bi-annually, and on termination of employment assets are returned and recorded, with laptops reset and user data securely wiped before reuse or disposal. Use of removable media is prevented by default, with any granted exception recorded, encrypted where confidentiality or integrity is material, and securely disposed of.</t>
  </si>
  <si>
    <t>CHNG-01</t>
  </si>
  <si>
    <t>Yes. Significant or major changes to Preservica's product environment that could affect a customer's security posture are announced in advance via Preservica's Community Hub. Releases that impact customers are additionally communicated via email and/or the customer portal. Where action is required on the customer's part in order to mitigate a vulnerability, Preservica notifies the customer directly.</t>
  </si>
  <si>
    <t>CHNG-02</t>
  </si>
  <si>
    <t>Configuration changes made to the SaaS application by the customer are maintained from release to release.</t>
  </si>
  <si>
    <t>CHNG-03</t>
  </si>
  <si>
    <t>Yes. Preservica uses Infrastructure as Code for the building, provisioning and management of all infrastructure components deployed into production environments, including compute resources, databases, storage containers and network objects, and deployment and updating of the application to production environments is automated to reduce the risk of human error. Standardised system hardening and configuration baselines are applied under documented procedures, and changes to them are managed through Preservica's change management process. Software and cloud service inventories are maintained and reviewed, and configuration management is within the scope of Preservica's ISO/IEC 27001:2022 certification and its SOC 2 Type II audit.</t>
  </si>
  <si>
    <t>CHNG-04</t>
  </si>
  <si>
    <t>Yes. Changes are managed under Preservica's documented Change Management procedure, which covers authorisation, testing and approval of system changes, operates within Preservica's ISO/IEC 27001:2022 and ISO 9001:2015 certified management systems, and is independently tested as part of Preservica's SOC 2 Type II report. Changes are documented in tickets and subject to quality assurance before implementation. A Change Advisory Board, comprising the Cloud Operations team and chaired by the Operations Director as Change Manager, meets bi-weekly and approves or denies change requests on a holistic view of all changes in the period. The procedure provides for rollback of changes where necessary. Development, test and production environments are separated, testing in production is prohibited, deployment to production is automated, and production access is restricted to authorised Operations personnel.</t>
  </si>
  <si>
    <t>CHNG-05</t>
  </si>
  <si>
    <t>Yes — all four elements are implemented. Impact analysis: the Change Advisory Board reviews and approves or denies change requests on a holistic view of all changes in the period. Authorisation: changes are documented in tickets, subject to quality assurance before implementation, and approved by the Change Advisory Board, chaired by the Operations Director as Change Manager. Testing and validation: source code changes require review and approval by a second person before acceptance into the main branch and are additionally reviewed by static application security testing tooling; development, test and production environments are separated and testing in production is prohibited; dynamic application security testing is performed as a release gate on every release candidate; and customer production data is not used in test environments. Restriction of production implementation: deployment to production is automated and production access is restricted to authorised Operations personnel. The process operates within Preservica's ISO/IEC 27001:2022 certification and is independently tested as part of Preservica's SOC 2 Type II report.</t>
  </si>
  <si>
    <t>CHNG-06</t>
  </si>
  <si>
    <t>CHNG-07</t>
  </si>
  <si>
    <t>CHNG-08</t>
  </si>
  <si>
    <t>Yes. Preservica's Vulnerability and Patch Management Policy requires that every vulnerability be mitigated either through a supplied patch or through a compensating control, within a timeline commensurate with the risk the vulnerability poses to the affected information system as assessed by Preservica's Information Security team. Where a patch is not yet available or cannot yet be safely applied, compensating controls are applied in the interim; these draw on Preservica's layered control environment, including web application firewall protection of customer production domains, deny-by-default network access controls, network and host-based intrusion detection and prevention with continuous monitoring, and restriction or isolation of the affected component where appropriate. Assessment of which control to apply takes account of the applicability and configuration of the affected component within Preservica's environment and the controls already in place.</t>
  </si>
  <si>
    <t>CHNG-09</t>
  </si>
  <si>
    <t>Preservica provides a commercial-off-the-shelf SaaS platform delivered identically to all customers. All customers are maintained on the latest version, so customers cannot postpone or opt out of a release. This uniformity means every customer receives security fixes and improvements at the same time, without a supported legacy version accumulating unpatched risk.</t>
  </si>
  <si>
    <t>CHNG-10</t>
  </si>
  <si>
    <t>Preservica targets a whole release approximately every four to eight weeks. As a SaaS platform all customers are moved onto the latest version; Preservica supports the latest version, and one prior version for the duration of a new version rollout.</t>
  </si>
  <si>
    <t>CHNG-11</t>
  </si>
  <si>
    <t>Preservica targets a whole release approximately every four to eight weeks. Releases are communicated in advance via Preservica's Community Hub.</t>
  </si>
  <si>
    <t>CHNG-12</t>
  </si>
  <si>
    <t>We do not disclose this information.</t>
  </si>
  <si>
    <t>CHNG-13</t>
  </si>
  <si>
    <t>Yes. Preservica manages the deployment and updating of the application to production environments through automated processes, and no technical or organisational action is required from the institution for a solution update to complete. All customers are maintained on the latest version. Where a change could affect a customer's security posture, or where action is required on the customer's part, Preservica notifies the customer.</t>
  </si>
  <si>
    <t>CHNG-14</t>
  </si>
  <si>
    <t>Planned maintenance windows are defined in the customer's contract terms. Planned maintenance and other agreed exclusions are excluded from Preservica's Application Availability SLA of 99.5%, measured monthly.</t>
  </si>
  <si>
    <t>CHNG-15</t>
  </si>
  <si>
    <t>An emergency change is one that must be evaluated, assessed and either approved or rejected in a short space of time. Emergency changes are recorded in tickets in the same way as all other changes, are expedited through Preservica's change management process, and are subject to the same rollback provisions. Where service availability is affected and the Change Manager is not available, the change may be actioned before approval is obtained.</t>
  </si>
  <si>
    <t>CHNG-16</t>
  </si>
  <si>
    <t>Yes. Preservica applies standardised hardening and configuration baselines, supported by its Vulnerability and Patch Management Policy and procedures, and uses Infrastructure as Code for the building, provisioning and management of all infrastructure components deployed into production. The strategy is underpinned by documented asset management: an inventory of asset categories with a designated owner for each, a software inventory and a cloud services register, physical IT equipment tracked in an asset management system, and SaaS infrastructure assets tracked through the cloud service provider's tooling. The asset register is reviewed annually and the asset management system at least bi-annually. Cloud service use is governed by a Cloud Computing Policy, and use of employee-owned devices by a BYOD Policy; access to all systems, on-premises and cloud, is granted on least-privilege and need-to-know principles using role-based access control. Use of removable media is prevented by default, with any granted exception recorded and encrypted where confidentiality or integrity is material. Preservica does not operate its own data centres.</t>
  </si>
  <si>
    <t>PPPR-01</t>
  </si>
  <si>
    <t>Yes. Preservica has an established Vulnerability and Patch Management Policy covering the identification, assessment, mitigation and closure of vulnerabilities. The policy requires that vulnerabilities be mitigated, either through a supplied patch or through a compensating control, within a timeline commensurate with the risk the vulnerability poses to the affected information system as assessed by Preservica's Information Security team. The policy is within the scope of Preservica's ISO/IEC 27001:2022 certification and is audited as part of Preservica's SOC 2 Type II report.</t>
  </si>
  <si>
    <t>PPPR-02</t>
  </si>
  <si>
    <t>Preservica will consider institutional policies on privacy and data protection subject to contract negotiation, and will enter into a Data Processing Agreement subject to legal review. Agreements based on GDPR or UK GDPR Standard Contractual Clauses, or similar recognised frameworks, are more readily agreed than bespoke templates. In any agreement Preservica must be designated as Processor, with responsibilities aligned to the applicable legislation for that designation. Because Preservica does not determine or control the specific categories of personal data a customer chooses to process, Preservica is generally unable to complete unilaterally those sections of an agreement that require exact categories of data, data subjects or processing activities; completing a Data Processing Agreement is therefore typically a collaborative exercise between Preservica and the customer. Preservica will also complete a customer's own vendor risk assessments, security questionnaires or similar attestations of compliance on reasonable request, subject to the terms of the agreement.</t>
  </si>
  <si>
    <t>PPPR-03</t>
  </si>
  <si>
    <t>Preservica will comply with applicable laws relevant to the services. Insititutions may negotiate jurisidction on Enterprise and above.</t>
  </si>
  <si>
    <t>PPPR-04</t>
  </si>
  <si>
    <t>Yes. Data in transit is protected using TLS 1.2 or TLS 1.3 only; no earlier TLS or SSL version is enabled or supported. The cipher suites in use are strong authenticated-encryption suites, reviewed regularly and updated in line with industry best practice. Customer data at rest is encrypted using AES-256, with key management provided by the cloud service provider's key management services.</t>
  </si>
  <si>
    <t>PPPR-05</t>
  </si>
  <si>
    <t>Yes. Preservica maintains a documented Secure Development Policy establishing mandatory secure coding standards and controls across the development lifecycle, covering requirements specification, system design, development, testing and deployment. It applies to all Preservica employees, contractors and sub-contractors performing product support, development, testing or quality assurance on products released to customers. Preservica uses the OWASP Top 10 (2025) as its guidance for secure development focus areas, and system designs are assessed against the OWASP Top 10 categories during the design phase. Designs are peer-reviewed at regular Technical Review meetings involving DevOps and Operations personnel, senior engineers and a representative from Information Security. Source code changes require review and approval by a second person before acceptance into the main branch and are additionally reviewed by static application security testing tooling. Deployment to production is automated, using Infrastructure as Code for all production infrastructure components.</t>
  </si>
  <si>
    <t>PPPR-06</t>
  </si>
  <si>
    <t>All staff undergo role suitability, identification verification, proof of residence, right-to-work, reference, academic achievement, credit, sanction and director checks prior to employment or engagement. Staff in Customer Support, Operations, Information Security and Finance additionally complete an annual criminal background check. Screening is governed by Preservica's documented Engagement Screening Procedure.</t>
  </si>
  <si>
    <t>PPPR-07</t>
  </si>
  <si>
    <t>Yes. On hire and annually thereafter, all employees must read and acknowledge a set of core policies, including the Information Security Policy, the Quality Policy, the Security Incident Identification and Reporting Guidance, and the Acceptable Use Policy. Additional role-specific policies apply — for example the Secure Development Policy and Software Quality Policy for Development and Product Management teams, and the incident and crisis management procedures for the Information Security team. Sanctions for non-compliance are defined explicitly within each policy, proportionate to the impact of the breach, ranging from a verbal warning up to disciplinary action including termination. New employees also complete pre-employment screening and mandatory security awareness training.</t>
  </si>
  <si>
    <t>PPPR-08</t>
  </si>
  <si>
    <t>Yes. In line with ISO 27001 requirements Preservica has an established and regularly reviewed Information Security Policy, which is available from Preservica's Trust Center at https://preservica.com/trust-center. The policy has an assigned Owner and Approver, with sign-off tracked, and is reviewed at least annually, on material change to the environment, or in response to an incident.</t>
  </si>
  <si>
    <t>PPPR-09</t>
  </si>
  <si>
    <t>Yes. Security is built into the product lifecycle at each stage. Design: system designs are assessed against the OWASP Top 10 (2025) categories during the design phase and peer-reviewed at regular Technical Review meetings involving DevOps and Operations personnel, senior engineers and a representative from Information Security. Development: engineers must ensure code is free of the current OWASP Top 10 web application security risks, must not hard-code credentials, must disable detailed error messages that could support an attack vector, and must configure their development environment with the required security tooling. Engineers and quality assurance staff are trained on the OWASP Top 10 on hire and retrained whenever a new edition is published, and developers must have appropriate training, knowledge or experience in the languages they work in, verified during recruitment. Review: all source code changes require review and approval by a second person before acceptance into the main branch and are additionally reviewed by static application security testing tooling for vulnerabilities, licensing issues and secrets. Testing: static application security testing is enforced at every pull request, dynamic application security testing is applied as a release gate on every release candidate, and an independent CREST-certified penetration test covering application, API and infrastructure layers is commissioned at least annually.</t>
  </si>
  <si>
    <t>PPPR-10</t>
  </si>
  <si>
    <t>Yes. Preservica will comply with applicable breach notification laws, which vary by customer geography. In addition, under Preservica's standard Terms and Conditions, in the event of a confirmed data breach Preservica commits by edition to: Enterprise and above — promptly inform the customer within 24 hours, including any relevant details, where legally permitted; manage the incident through to resolution in consultation with the customer and Preservica's advisers; and provide regular updates. Professional, Professional Plus and Starter Plus — promptly inform the customer within 48 hours, including any relevant details, where legally permitted; manage the incident through to resolution in consultation with Preservica's advisers; and, for Professional and Professional Plus, provide regular updates. These are Preservica's standard terms; a customer's signed agreement takes precedence. Notification commitments apply to confirmed incidents and breaches. Preservica maintains an Incident Management Policy supported by a Cyber Incident Response Plan with scenario-specific playbooks and a Crisis Management Communications Plan; a full response exercise is conducted at least annually, and incident management is within the scope of Preservica's ISO/IEC 27001:2022 certification and its SOC 2 Type II audit. Where an incident has affected, or is likely to have affected, personal data, Preservica's Data Protection Officer is engaged and advises on assessment, containment and notification; the Data Protection Officer is contactable at Privacy@preservica.com.</t>
  </si>
  <si>
    <t>PPPR-11</t>
  </si>
  <si>
    <t>Yes. Preservica's security awareness programme is governed by a documented Security Awareness Training Policy applying to all Preservica staff, temporary staff, consultants and third parties who have access to Preservica information, Preservica customer information, or the facilities, technologies or services used to process such information. Training is completed during onboarding and at regular intervals not exceeding annually, with additional ad hoc training following significant security incidents or threats, or material regulatory, policy or technology changes. Content covers recognising and reporting phishing, social engineering, credential harvesting and business email compromise; password and information handling practice; data classification and secure disposal; secure handling, transmission, storage, retention and disposal of sensitive information; safe browsing; physical security; acceptable use of company resources; the importance of software updates and patching; and incident and breach reporting procedures. Privileged users and staff with access to customer data receive additional role-specific training. Preservica maintains records of assigned and completed training, validates understanding through quizzes, assessments and simulated phishing exercises, follows up with those requiring remedial training, and tracks completion rates, overdue assignments, phishing simulation performance and recurring deficiencies. Third parties and consultants are required, contractually or by equivalent means, to have training equal to or greater than that required of Preservica's own staff.</t>
  </si>
  <si>
    <t>PPPR-12</t>
  </si>
  <si>
    <t>Yes. All Preservica staff, temporary staff, consultants and third parties in scope of Preservica's Security Awareness Training Policy must complete mandatory security awareness training during onboarding and at regular intervals not exceeding annually. Additional ad hoc training is provided following significant security incidents or threats, or material regulatory, policy or technology changes, and additional role-specific training is mandatory for privileged users and staff with access to customer data. Failure to complete mandatory training results in follow-up from Information Security, escalation to the individual's line manager, and, for persistent non-compliance, disciplinary action up to and including termination, with system access potentially suspended pending the outcome. Exceptions require approval by the CISO or a delegate and are recorded.</t>
  </si>
  <si>
    <t>PPPR-13</t>
  </si>
  <si>
    <t>Yes. Access rights, including those of privileged accounts, are reviewed by asset owners at regular intervals — at a minimum every six months — and additionally on role change and on termination, with reviews recorded. Privileged rights are restricted, recorded and not granted by default, and privileged accounts are kept separate from day-to-day user accounts. Access is granted on the principles of least privilege and need-to-know using role-based access control. These controls are within the scope of Preservica's ISO/IEC 27001:2022 certification and are independently tested as part of Preservica's SOC 2 Type II report.</t>
  </si>
  <si>
    <t>PPPR-14</t>
  </si>
  <si>
    <t>Yes. Preservica maintains a documented Internal Audit Procedure and operates an internal audit programme to a defined annual schedule covering its ISO/IEC 27001:2022 and ISO 9001:2015 certified management systems. Findings feed a broader assurance cycle: every policy and procedure has an assigned Owner and Approver and is reviewed at least annually, on material change to the environment, or in response to an incident; the Leadership Team conducts an annual Management Review; the Board provides oversight annually; and control design and operating effectiveness are independently verified through Preservica's external certifications and its annual SOC 2 Type II audit. Compliance with policy is further assured by mandatory reading and acknowledgement of core policies on hire and annually thereafter, with sanctions defined within each policy.</t>
  </si>
  <si>
    <t>PPPR-15</t>
  </si>
  <si>
    <t>Yes, at two levels. Data centres: institutional data is stored on cloud service provider infrastructure — Amazon Web Services or Microsoft Azure — and physical security of those facilities is the provider's responsibility, covered by their own independently audited certifications and attestations such as ISO 27001 and SOC 2, which Preservica reviews at least annually as part of its critical supplier review. Preservica does not operate its own data centres, and accepts responsibility for its sub-processors under its standard Terms and Conditions. Preservica's own offices: Preservica maintains a Physical and Environmental Security Policy and supporting procedure, with defined security perimeters protecting areas containing information and assets, controlled entry to premises and secure areas so that only authorised personnel gain access, and monitoring for unauthorised physical access. Access to secure areas is restricted to staff with a business need using key and fob controls, and visitors are escorted and supervised. Use of mobile storage media such as USB drives is not authorised. Physical and environmental security is within the scope of Preservica's ISO/IEC 27001:2022 certification.</t>
  </si>
  <si>
    <r>
      <t xml:space="preserve">HECVAT Solution Provider Response - </t>
    </r>
    <r>
      <rPr>
        <b/>
        <i/>
        <sz val="20"/>
        <color theme="0"/>
        <rFont val="Verdana"/>
        <family val="2"/>
      </rPr>
      <t>Product</t>
    </r>
  </si>
  <si>
    <t>AAAI-01</t>
  </si>
  <si>
    <t>Preservica supports SAML 2.0-based Single Sign-On for user and administrator authentication, available on Enterprise edition and above. Microsoft Entra ID (Azure AD) is fully supported. Where Single Sign-On is used, authentication strength is delegated to and enforced by the institution's own Identity Provider — including password complexity and ageing, re-use restrictions, multi-factor authentication, certificate-based authentication and biometrics. SAML assertions are exchanged over TLS 1.2 or TLS 1.3 only; all earlier TLS and SSL versions are disabled. Where an institution does not use Single Sign-On, Preservica's built-in local authentication applies the password rules stated in AAAI-04, and two-factor authentication is available on Professional edition and above.</t>
  </si>
  <si>
    <t>AAAI-02</t>
  </si>
  <si>
    <t>Preservica provides a platform-native local authentication directory for institutions that do not use Single Sign-On. Local accounts are used for both user and administrator access, and are created and administered by the institution's own platform administrators. Local passwords must be between 8 and 64 characters in length and must contain at least 3 of the following 4 character classes: uppercase letters, lowercase letters, numbers, and symbols. Two-factor authentication is available for local authentication on Professional edition and above and is enabled at tenancy level. Access rights for local accounts are governed by the platform's role-based access control model, with permissions assignable to predefined or custom roles and scoped to specific content. User sessions are automatically terminated after a maximum of 15 minutes of inactivity.</t>
  </si>
  <si>
    <t>AAAI-03</t>
  </si>
  <si>
    <t>Where Preservica's built-in local authentication is used, the platform applies its own fixed password complexity requirements: passwords must be between 8 and 64 characters in length and must contain at least 3 of the following 4 character classes: uppercase letters, lowercase letters, numbers, and symbols. These requirements are platform-set and cannot be reconfigured to apply an institution-supplied password or passphrase policy.</t>
  </si>
  <si>
    <t>AAAI-04</t>
  </si>
  <si>
    <t>Local authentication passwords must be between 8 and 64 characters in length — 8 characters is the minimum and 64 the maximum — and must contain at least 3 of the following 4 character classes: uppercase letters, lowercase letters, numbers, and symbols.</t>
  </si>
  <si>
    <t>AAAI-05</t>
  </si>
  <si>
    <t>Where Preservica's built-in local authentication is used, password reset is performed by the institution's own platform administrators through the platform's administrative screens. Managing user accounts within the tenancy, including password resets, is the institution's responsibility under Preservica's Shared Responsibility Model, published at https://website-assets.preservica.com/production/resources/Shared-Responsibility-Model-Global-v1.1.pdf. Preservica Support does not ordinarily reset passwords for platform users and will refer such requests to the institution's platform administrator.</t>
  </si>
  <si>
    <t>AAAI-06</t>
  </si>
  <si>
    <t>No plans at this time.</t>
  </si>
  <si>
    <t>AAAI-07</t>
  </si>
  <si>
    <t>Preservica's Secure Development Policy prohibits hard-coding credentials in source code or in configuration files in unencrypted form. All source code is held in an approved repository, all changes are reviewed and approved by a second person before acceptance into the main branch, and all changes are additionally scanned by Static Application Security Testing tooling that checks for vulnerabilities, licensing issues and secrets.</t>
  </si>
  <si>
    <t>AAAI-08</t>
  </si>
  <si>
    <t>AAAI-09</t>
  </si>
  <si>
    <t>Preservica's reporting module provides audit records of user login and logout events and of user activity within the institution's tenancy. These records are not editable by platform users and access to them is restricted by role. Institutions can also retrieve these records through the platform's documented REST APIs for ingestion into their own SIEM or log-aggregation platform. Source IP address is not currently recorded in tenant login records; Preservica is reviewing the requirements and privacy implications of enabling IP address logging. Separately, Preservica collects, collates and monitors the logs of the underlying SaaS infrastructure, which are retained for a minimum of 30 days and feed 24/7/365 security monitoring.</t>
  </si>
  <si>
    <t>AAAI-10</t>
  </si>
  <si>
    <t>Logging is a shared responsibility. (a) Within the institution's tenancy, the platform captures audit records of user login and logout events and of user activity, surfaced through the platform's reports and administrative screens; these records are not editable by platform users and access to them is restricted by role. At the infrastructure layer, Preservica collects, collates and monitors system logs for the environment on which the service runs. (b) No institution-side deployment or agent is required for logging to operate; tenant audit records are available through the platform to users holding an appropriate role, and administrators can review accounts, role assignments and activity records at whatever cadence the institution's own policies require. (c) Preservica does not push tenant logs directly into an institution's SIEM; institutions retrieve tenant audit records through the platform's documented REST APIs for ingestion into their own SIEM or log-aggregation platform. Preservica's own infrastructure logs are forwarded to a central SIEM, retained for a minimum of 30 days, and monitored 24/7/365. The full responsibility split is set out in Preservica's Shared Responsibility Model: https://website-assets.preservica.com/production/resources/Shared-Responsibility-Model-Global-v1.1.pdf</t>
  </si>
  <si>
    <t>AAAI-11</t>
  </si>
  <si>
    <t>Audit records within the institution's tenancy are available to the institution through the platform's reports and administrative screens, and can also be retrieved programmatically through the platform's documented REST APIs. These records are not editable by platform users and access to them is restricted by role. Monitoring those records against the institution's own policies, and performing access reviews within the tenancy, is the institution's responsibility. Preservica collects, protects and monitors the logs of the underlying SaaS infrastructure and retains them for a minimum of 30 days. The responsibility split is set out in Preservica's Shared Responsibility Model (https://website-assets.preservica.com/production/resources/Shared-Responsibility-Model-Global-v1.1.pdf) and further compliance documentation is available at https://preservica.com/trust-center</t>
  </si>
  <si>
    <t>AAAI-12</t>
  </si>
  <si>
    <t>Where Single Sign-On is not used, authentication is performed by Preservica's own platform-native local authentication directory. Preservica does not offer direct integration with external authentication or authorization systems such as Active Directory, LDAP or Kerberos; institutions that wish to use an existing directory do so by federating it through their own SAML 2.0 Identity Provider, which is available on Enterprise edition and above. Authorization within the platform is always governed by Preservica's own role-based access control model, using predefined or custom roles whose permissions can be scoped to specific content.</t>
  </si>
  <si>
    <t>AAAI-13</t>
  </si>
  <si>
    <t>AAAI-14</t>
  </si>
  <si>
    <t>Where Single Sign-On is not used, user accounts are held in Preservica's own platform-native local authentication directory and are created and administered by the institution's platform administrators; the application does not bind to or synchronise with an institution's own directory service. Directory integration is available through SAML 2.0 federation with the institution's Identity Provider, on Enterprise edition and above, where the institution chooses to use Single Sign-On.</t>
  </si>
  <si>
    <t>AAAI-15</t>
  </si>
  <si>
    <t>Preservica supports SAML 2.0 for web-based Single Sign-On, available on Enterprise edition and above; Microsoft Entra ID (Azure AD) is fully supported. OpenID Connect, CAS and OAuth-based authorization flows are not supported. SAML assertions are exchanged over TLS 1.2 or TLS 1.3 only, using modern authenticated cipher suites; all earlier TLS and SSL versions are disabled and unsupported.</t>
  </si>
  <si>
    <t>AAAI-16</t>
  </si>
  <si>
    <t>AAAI-17</t>
  </si>
  <si>
    <t>Where an institution chooses not to implement SAML 2.0 Single Sign-On, Preservica's built-in local authentication supports two-factor authentication. This is available on Professional edition and above and is enabled at tenancy level. Where Single Sign-On is used instead (Enterprise edition and above), multi-factor authentication is delegated to and enforced by the institution's own Identity Provider, including Microsoft Entra ID conditional access policies.</t>
  </si>
  <si>
    <t>AAAI-18</t>
  </si>
  <si>
    <t>Users will be logged out after a maximum of 15 minutes of inactivity.</t>
  </si>
  <si>
    <t>DATA-01</t>
  </si>
  <si>
    <t>Institution data is held in cloud storage provided by Preservica's infrastructure provider (AWS or Microsoft Azure, per the institution's Order Form) in customer-specific storage containers. Application and database components run within isolated virtual private networks; ingress from public to private networks is restricted to required services on a deny-by-default basis, production and non-production networks are logically separated, and communication between environments is prohibited by default and permitted only where strictly necessary and explicitly approved. Institutions on Enterprise Private Cloud or above may additionally elect IP whitelisting, restricting access to their own nominated IP addresses together with Preservica's offices and Preservica's infrastructure monitoring platform.</t>
  </si>
  <si>
    <t>DATA-02</t>
  </si>
  <si>
    <t>All data in transit, including content files and metadata, is encrypted using TLS 1.2 or TLS 1.3 only; all earlier TLS and SSL versions are disabled and unsupported. Only modern authenticated cipher suites are enabled which, at the time of response, include; AES-GCM and ChaCha20-Poly1305 with ECDHE key exchange — and the enabled cipher set is reviewed regularly against industry best practice. HTTP Strict Transport Security is applied to customer applications, and end-to-end encryption is used for critical services such as authentication.</t>
  </si>
  <si>
    <t>DATA-03</t>
  </si>
  <si>
    <t>Institution data at rest is encrypted using AES-256, with keys managed through the key management services of the underlying cloud provider. This applies to the database platform and its backups and snapshots, block storage volumes and snapshots, object storage, and archival storage tiers.</t>
  </si>
  <si>
    <t>DATA-04</t>
  </si>
  <si>
    <t>Cryptographic Modules used by Preservica are managed by the Cloud Service provider and are FIPS 140-2 Level 3 Compliant. FIPS 140-2 is still valid through 2026.</t>
  </si>
  <si>
    <t>DATA-05</t>
  </si>
  <si>
    <t>Institution data remains available within the system for export for up to 30 days following contract termination, after which Preservica is entitled to delete all institution data. Where continued access is required beyond that period, extensions can be purchased on a month-to-month basis. Enhanced exit assistance is also available as a paid option for institutions with specific regulatory or legislative exit requirements. Existing customers should refer to their signed agreement, which takes precedence over this general position.</t>
  </si>
  <si>
    <t>DATA-06</t>
  </si>
  <si>
    <t>Institutions retain ownership and control of all data they place in or generate through the service — content ingested, data supplied as input to platform processing, outputs produced by that processing, and all associated descriptive, technical and preservation metadata — at all times, as set out in the contract Terms and Conditions. Preservica processes institution data only to provide the contracted service, on the institution's instructions and as required by applicable law, and does not use institution data to train or fine-tune any model. Institutions can export some or all of their content and metadata at any time during the contract term in a common machine-readable format, and Preservica supports the OPEX (Open Preservation Exchange) standard for structured export of preservation content and metadata. Source code escrow and key escrow are additionally available as chargeable options through a third-party escrow provider, under a tripartite registration agreement between Preservica, the institution and the escrow provider.</t>
  </si>
  <si>
    <t>DATA-07</t>
  </si>
  <si>
    <t>Institution data, including all backup copies, is stored and processed only within the geographic region specified in the Data Residency section of the institution's Order Form. This is a contractual and enforceable commitment: data is not moved, replicated or processed outside that region except where explicitly instructed by the institution or required by applicable law. Resilience and recovery arrangements are designed so that institution data does not move across regions or outside agreed jurisdictional boundaries, and sub-processors are approved and used on a region-dependent basis consistent with the same commitment.</t>
  </si>
  <si>
    <t>DATA-08</t>
  </si>
  <si>
    <t>Preservica does not operate its own data centres. Institution data, including long-term retention and archival copies, is held exclusively in AWS or Microsoft Azure facilities. Physical and environmental security of those facilities is the provider's responsibility and is covered by their own independently audited certifications and attestations, including ISO 27001 and SOC 2. Preservica reviews those certifications and attestations at least annually as part of its critical supplier review process, which operates under Preservica's ISO/IEC 27001:2022 and ISO 9001:2015 certified management systems. Preservica's own compliance documentation is available at https://preservica.com/trust-center</t>
  </si>
  <si>
    <t>DATA-09</t>
  </si>
  <si>
    <t>The platform includes built-in export functionality allowing the institution to export some or all of its content and metadata at any time in an open, machine-readable format; Preservica supports the OPEX (Open Preservation Exchange) standard for structured export of preservation content and metadata. Following termination, export remains available for the period stated in DATA-05, after which institution data is deleted. Where an entire environment or tenancy is deleted at the end of an agreement, Preservica can provide an Attestation of Deletion on request: a formal signed letter identifying the services, URLs, tenancy identifiers and cloud service providers in scope, and confirming that data has been securely and permanently deleted from Preservica's application databases and storage systems. Logical deletion is performed by Preservica; physical destruction of the underlying storage media is performed by the cloud service provider under its own independently audited processes.</t>
  </si>
  <si>
    <t>DATA-10</t>
  </si>
  <si>
    <t>Institutions can export some or all of their content and metadata at any time using the platform's built-in export functionality. Exports can also be driven programmatically through Preservica's documented REST APIs. Institution-applied metadata is preserved on export. Note that certain system-level audit records may not be exportable as part of a migration. This is a self-service export capability under the institution's control; it is not access to Preservica's own backup media.</t>
  </si>
  <si>
    <t>DATA-11</t>
  </si>
  <si>
    <t>Preservica maintains backup and recovery arrangements sufficient to meet its contractual Recovery Point Objective of 24 hours and Recovery Time Objective of 4 hours for the service. Recovery is exercised at least semi-annually, and control effectiveness is independently audited as part of Preservica's SOC 2 Type II report, which is available to customers on request. Detailed backup implementation methods and retention schedules are not publicly disclosed. In addition, the platform performs ongoing fixity checking, validating stored content against recorded checksums and alerting on any discrepancy.</t>
  </si>
  <si>
    <t>DATA-12</t>
  </si>
  <si>
    <t>Preservica does not operate a separate off-site backup facility, and does not replicate institution data to another geographic region. The service runs entirely on cloud infrastructure provided by AWS or Microsoft Azure, and all backup copies are held within the geographic region specified in the institution's Order Form; resilience and recovery arrangements are designed so that institution data does not move outside that contracted region. Preservica's recovery commitments are a Recovery Point Objective of 24 hours and a Recovery Time Objective of 4 hours, exercised at least semi-annually, with control effectiveness independently audited as part of its SOC 2 Type II report.</t>
  </si>
  <si>
    <t>DATA-13</t>
  </si>
  <si>
    <t>Preservica does not operate its own data centres and does not use removable or portable physical media in the delivery of the service, so no physical backup media exists to be taken off site. All institution data is held in AWS or Microsoft Azure cloud storage within the institution's contracted geographic region. Within Preservica's own corporate environment, the use of mobile storage media such as USB drives is not authorised.</t>
  </si>
  <si>
    <t>DATA-14</t>
  </si>
  <si>
    <t>Backups and snapshots are encrypted at rest using AES-256, with keys managed through the key management services of the underlying cloud provider and access restricted to authorised personnel on a least-privilege basis. Backup copies remain within the institution's contracted geographic region.</t>
  </si>
  <si>
    <t>DATA-15</t>
  </si>
  <si>
    <t>Preservica does not operate its own data centres and does not use removable physical media in the delivery of the service. Media handling, end-of-life disposal, repurposing and sanitisation of storage hardware are performed by the cloud infrastructure providers (AWS and Microsoft Azure) under their own documented and independently audited processes; Preservica reviews those certifications and attestations at least annually as part of its critical supplier review process. Logical deletion of institution data within the platform is performed by Preservica in accordance with its retention determination and policy; physical destruction of the underlying media is the provider's responsibility. Within Preservica's own corporate environment, the use of mobile storage media such as USB drives is not authorised.</t>
  </si>
  <si>
    <t>DATA-16</t>
  </si>
  <si>
    <t>The applicable media sanitisation processes are those of the cloud infrastructure provider. Preservica's platform runs on AWS or Microsoft Azure depending on the institution's configuration, and each provider publishes its media sanitisation and destruction practices and the standards to which they conform — for AWS, see https://aws.amazon.com/compliance/data-center/data-layer/. Preservica reviews these certifications and attestations at least annually as part of its critical supplier review process.</t>
  </si>
  <si>
    <t>DATA-17</t>
  </si>
  <si>
    <t>Preservica staff do not have routine or standing access to institution data. Access can occur only through the following limited, controlled paths. (1) Customer Support: access to an institution's environment only in response to an institution-raised support ticket, and only where the institution has explicitly approved that access on the ticket; access uses a support account created in the tenancy's directory that is deliberately visible to the institution, is removed when the need ends, and can be revoked by the institution at any time. (2) Professional Services: where a long-running engagement requires ongoing access, this is granted by the institution at the start of the engagement, either in the tenancy directory or, where Single Sign-On is used, by the institution within its own Identity Provider. (3) Legal requirement: only under a binding order of a competent authority, subject to sign-off by Preservica's Legal team. (4) Imminent security threat: only where necessary to prevent damage or loss, with the approval of Preservica's Chief Information Security Officer. (5) Cloud Operations: as administrators of the underlying SaaS infrastructure, Preservica's Cloud Operations team hold infrastructure-level privileges that carry administrative capability outside the application layer; all such access is logged to Preservica's SIEM and is subject to need-to-know controls, monitoring and audit. In all cases access is least-privilege, logged and auditable. Access rights are reviewed at least every six months and removed when the business need ceases; where an institution's system contains sensitive regulated information, access is terminated immediately upon the institution's request. Where access is required, it is performed by authorised personnel based in the United Kingdom or the United States. Preservica's sub-processors are AWS or Microsoft Azure, as specified in the institution's Order Form, and Cloudflare on Professional edition and above; Preservica accepts responsibility for its sub-processors under its standard Terms and Conditions.</t>
  </si>
  <si>
    <t>DATA-18</t>
  </si>
  <si>
    <t>Preservica maintains documented controls for staff working outside its offices. Remote access to Preservica systems is via secure VPN protected by Microsoft Entra ID accounts with multi-factor authentication enforced. Access is granted on least-privilege and need-to-know principles using role-based access control; privileged accounts are held separately from day-to-day accounts, and access rights are reviewed at least every six months and on role change or termination. Staff password requirements meet defined length and complexity standards, multi-factor authentication is enforced for staff access, and a company-approved, MFA-protected password manager is mandated. The use of mobile storage media such as USB drives is not authorised. These controls fall within the scope of Preservica's ISO/IEC 27001:2022 certification and are independently tested as part of its annual SOC 2 Type II report. Separately, under Preservica's Shared Responsibility Model, endpoint protection on the devices an institution's own users use to access the service remains the institution's responsibility.</t>
  </si>
  <si>
    <t>DATA-19</t>
  </si>
  <si>
    <t>Both models are available. Starter, Starter Plus, Professional, Professional Plus and Enterprise editions run in regional multi-tenant environments; to provide a cost-effective service these share processing infrastructure and the database platform, but institution data uploaded to the service is always stored at rest in customer-specific storage containers and cannot be reached by other customers. Enterprise Plus, and Enterprise Plus with the Performance Pack, provide entirely dedicated processing infrastructure per customer in addition to those controls, in a separate cloud account or subscription with unique encryption keys that are not shared. Institutions may also purchase multiple tenancies where further separation is required. Within a single tenancy, institutions can create their own logical partitions using folder structures and Security Tags to segregate content and control access — for example by business unit, department or project — with role permissions scoped to those tags.</t>
  </si>
  <si>
    <t>DATA-20</t>
  </si>
  <si>
    <t>Ownership of all data, inputs, outputs and metadata is retained by the institution at all times, as set out in the contract Terms and Conditions. Preservica processes institution data only to provide the contracted service, on the institution's instructions and as required by applicable law. Institutions determine the classification and sensitivity of the data they store, and can export some or all of their content and metadata at any time; institution-applied metadata, including custom metadata schemas, is preserved on export via the OPEX standard.</t>
  </si>
  <si>
    <t>DATA-21</t>
  </si>
  <si>
    <t>Preservica will notify affected customers through their primary contact where legally possible. Some of our customers arrange for escrow services should this be of interest to Higher Education facilities. In addition, customers can export their data at any time.</t>
  </si>
  <si>
    <t>DATA-22</t>
  </si>
  <si>
    <t>Backup copies are taken to a defined schedule sufficient to meet Preservica's contractual Recovery Point Objective of 24 hours — that is, backups are taken at a frequency ensuring no more than 24 hours of data loss — and are held encrypted at rest with AES-256 within the institution's contracted geographic region, with access restricted on a least-privilege basis. Recovery is exercised at least semi-annually against a Recovery Time Objective of 4 hours, and control effectiveness is independently audited as part of Preservica's SOC 2 Type II report, which is available to customers on request. Retention schedules and detailed backup implementation methods are not publicly disclosed. In addition, the platform performs ongoing fixity checking, validating stored content against recorded checksums and alerting on any discrepancy.</t>
  </si>
  <si>
    <t>DATA-23</t>
  </si>
  <si>
    <t>Preservica operates a documented cryptographic key management process covering key generation, storage, distribution, rotation, compromise handling, revocation, and backup and destruction, and maintains an inventory of the cryptographic material in use across the platform's database, system and web components. Keys are managed through the key management services of the underlying cloud provider, are protected against unauthorised access, are stored separately from the data they protect where technically feasible, and access is restricted to authorised personnel on a least-privilege basis. Institutions hosted on dedicated infrastructure hold unique keys that are not shared with any other customer. Known or suspected key compromise is treated as a security incident and handled under documented procedures. The process is maintained in accordance with ISO/IEC 27001:2022 controls and its effectiveness is audited as part of Preservica's annual SOC 2 Type II report.</t>
  </si>
  <si>
    <r>
      <t xml:space="preserve">HECVAT Solution Provider Response - </t>
    </r>
    <r>
      <rPr>
        <b/>
        <i/>
        <sz val="20"/>
        <color theme="0"/>
        <rFont val="Verdana"/>
        <family val="2"/>
      </rPr>
      <t>Infrastructure</t>
    </r>
  </si>
  <si>
    <t>APPL-01</t>
  </si>
  <si>
    <t>Preservica implements role-based access control (RBAC). Predefined roles are: Manager User (all functional areas, excluding certain system-wide settings reserved to the SaaS provider); Access User (Explorer interface, search, and access-related reports and workflows); Ingest User (ingest-related reports and workflows); Data Management User (data management reports and workflows); Transform User (preservation-related reports and workflows, plus read access to the Technical Registry); Registry Admin User (modify the Technical Registry); Submitter User (no main application access, limited content access via the CMIS and REST APIs); and Anonymous User (no main application access, limited content access via the CMIS and REST APIs). Each predefined role can be granted permissions scoped to specific content tags, and institutions can define their own custom roles with permissions similarly scoped. Institutions configure roles and permissions within their tenancy in line with their own security policies.</t>
  </si>
  <si>
    <t>APPL-02</t>
  </si>
  <si>
    <t>Preservica's SaaS infrastructure includes a Cloudflare Web Application Firewall protecting customer production domains, with Cloudflare managed rules enabled. It is included in the subscription for Professional edition and above. All customer environments additionally include DDoS protection, which the Web Application Firewall detects and mitigates. Further information on Preservica's security controls is published at https://preservica.com/trust-center.</t>
  </si>
  <si>
    <t>APPL-03</t>
  </si>
  <si>
    <t>Preservica is a SaaS platform and manages all components itself; the institution has no dependencies to install or maintain. To the extent reasonably and commercially possible, all components used within the platform are kept up to date and in line with vendor-supported versions. An end-of-life or end-of-support component version may be retained only where no known vulnerabilities are present in that version; on detection of a vulnerability in such a component it is remediated under Preservica's Vulnerability and Patch Management Policy. All new third-party and open-source components are reviewed and approved before adoption, are recorded in an authoritative component register reviewed annually, and are monitored continuously by automated static analysis and dependency-analysis tooling for both vulnerabilities and licence risk. These controls fall within the scope of Preservica's ISO/IEC 27001:2022 certification and are independently tested within its annual SOC 2 Type II audit. A component-level inventory is not published.</t>
  </si>
  <si>
    <t>APPL-04</t>
  </si>
  <si>
    <t>The application does not require or request access to device location or GPS data, and there are no plans to introduce such a requirement.</t>
  </si>
  <si>
    <t>APPL-05</t>
  </si>
  <si>
    <t>Separation of duties is supported at two levels. Within the application, functional areas are separated across distinct predefined roles — access, ingest, data management, preservation/transform, and technical registry administration — and the Manager User role deliberately excludes certain system-wide settings, which are reserved to Preservica as the SaaS provider. Permissions for any predefined or custom role can be scoped to specific content tags, allowing institutions to separate security administration from day-to-day system and user functions in line with their own policies. Outside the application, Preservica maintains segregation of duties in its own operation of the service: source code changes require review and approval by a second person, development, test and production environments are separated, and production deployment is automated with production access restricted to authorised Operations staff. These controls are independently tested within Preservica's annual SOC 2 Type II audit.</t>
  </si>
  <si>
    <t>APPL-06</t>
  </si>
  <si>
    <t>APPL-07</t>
  </si>
  <si>
    <t>APPL-08</t>
  </si>
  <si>
    <t>Preservica's Access Control Policy applies to all internal networks, all IT systems (on-premise and cloud) and all authorised users, whether employees or external parties. Access rights are granted following the principles of least privilege and need-to-know, using role-based access control wherever possible. Privileged rights are restricted, recorded and not granted by default, and privileged accounts are kept separate from day-to-day user accounts. Remote access is via secure VPN protected by directory accounts with multi-factor authentication. Asset owners review access rights at least every six months, and on role change or termination, with reviews recorded. These controls fall within the scope of Preservica's ISO/IEC 27001:2022 certification and are independently tested within its annual SOC 2 Type II audit.</t>
  </si>
  <si>
    <t>APPL-09</t>
  </si>
  <si>
    <t>Input validation is applied where appropriate and is addressed through Preservica's secure development controls: system designs are assessed against the OWASP Top 10 (2025) categories at the design phase, and engineers are required to ensure code is free of the current OWASP Top 10 web application security risks before it is deployed to production. Error handling is deliberately constrained — detailed error messages that could assist an attacker are disabled in production environments. Content ingested into the platform is additionally subject to integrity validation: at ingest the platform either generates a hash of each file or validates a customer-supplied hash, and a mismatch on a supplied hash fails the ingest at that point.</t>
  </si>
  <si>
    <t>APPL-10</t>
  </si>
  <si>
    <t>Software supply chain management is governed by Preservica's Secure Development Policy and a documented open-source licence procedure. All new use of third-party or open-source software — libraries, frameworks, tools, containers or other components — must be reviewed and approved before adoption into any product or build pipeline. Components using a licence classified as high risk must additionally be notified to Legal and the Chief Technology Officer before adoption. Use of such components in executor services and infrastructure components is documented in an authoritative register that is reviewed annually. Automated static analysis and dependency-analysis tooling monitors all application source code continuously for component vulnerabilities and associated licence risk, and every source code change is checked for vulnerabilities, licensing issues and secrets before it can be accepted into the main branch. Components are kept in line with vendor-supported versions wherever reasonably possible, with end-of-life components remediated under the Vulnerability and Patch Management Policy. These processes fall within the scope of Preservica's ISO/IEC 27001:2022 and ISO 9001:2015 certified management systems and are independently tested within its annual SOC 2 Type II audit. Certification documentation is available at https://preservica.com/trust-center.</t>
  </si>
  <si>
    <t>APPL-11</t>
  </si>
  <si>
    <t>Developers complete OWASP Top 10 security awareness training on hire, and again whenever an updated OWASP Top 10 is published. All relevant staff have completed training on the 2025 edition. Developers must also hold appropriate training, knowledge or experience in the languages they code in, verified at interview through methods such as coding tests and validation of formal certifications; developers cross-training into a new language work under mentorship with all code peer-reviewed through the standard pull request process. Separately, Preservica's Security Awareness Training Policy applies to all staff, temporary staff, consultants and third parties with access to Preservica or customer information, and privileged users and those with access to customer data receive additional role-specific training on their responsibilities and applicable compliance requirements.</t>
  </si>
  <si>
    <t>APPL-12</t>
  </si>
  <si>
    <t>Preservica maintains a documented Secure Development Policy establishing mandatory secure coding standards and controls across the full development lifecycle — requirements specification, system design, development, testing and deployment — applying to all employees, contractors and sub-contractors performing development, testing or quality assurance on released products. The OWASP Top 10 (2025) is Preservica's secure development framework, supplemented by internal development standards and guidance, and system designs are assessed against the OWASP Top 10 (2025) categories during the design phase. Engineers are required to ensure code is free of the current OWASP Top 10 risks, to report any pre-existing vulnerable code they discover to Information Security, to disable detailed error messages that could support an attack vector, never to hard-code credentials in source code or configuration files in unencrypted form, and to run security plugins including static analysis within their development environment. Only reviewed and validated code is deployed into customer production environments.</t>
  </si>
  <si>
    <t>APPL-13</t>
  </si>
  <si>
    <t>N/A</t>
  </si>
  <si>
    <t>There is no mobile application version of Preservica; the service is delivered through the web browser. This question is therefore not applicable.</t>
  </si>
  <si>
    <t>APPL-14</t>
  </si>
  <si>
    <t>Preservica staff do not have routine or standing access to an institution's Preservica environment. Where access is needed for support, it occurs only in response to an institution-raised support ticket and only where the institution has explicitly approved that access on the ticket; access is provided through a support user created in the tenancy's own application directory, which is intentionally visible to the institution for transparency, is removed when the need ends, and can be revoked by the institution at any time. Long-standing professional services engagements may require ongoing access, which is granted by the institution at the start of the engagement, either in the tenancy's local directory or, where single sign-on is used, by the institution in its own Identity Provider. All access is least-privilege, logged, auditable and subject to management oversight; access rights are reviewed at least every six months and removed when the business need ceases. Internally, Preservica accounts are provisioned and de-provisioned through the IT helpdesk on request from HR or the user's line manager, with approval by the line manager or a member of the Leadership Team — self-approval is not permitted — and documented new starter and leaver procedures govern the joiner and leaver lifecycle, with access removed on termination. These controls fall within the scope of Preservica's ISO/IEC 27001:2022 certification and are described and independently tested within its annual SOC 2 Type II report.</t>
  </si>
  <si>
    <t>DCTR-01</t>
  </si>
  <si>
    <t>Azure</t>
  </si>
  <si>
    <t>DCTR-02</t>
  </si>
  <si>
    <t>DCTR-03</t>
  </si>
  <si>
    <t>Customer data is stored and processed only within the geographic region specified in the Data Residency section of the customer's Order Form. This is a contractual and enforceable commitment: data is not moved, replicated or processed outside that region except where explicitly instructed by the customer or where required by applicable law. Sub-processors are approved and used in a region-dependent manner consistent with the customer's contracted data residency requirements. Preservica operates in multiple regions and territories; the regions available for a given deployment are confirmed as part of the contracting process.</t>
  </si>
  <si>
    <t>DCTR-04</t>
  </si>
  <si>
    <t>DCTR-05</t>
  </si>
  <si>
    <t>DCTR-06</t>
  </si>
  <si>
    <t>DCTR-07</t>
  </si>
  <si>
    <t>Preservica does not operate paired primary and secondary data centres. As a digital preservation platform, the service is not architected to a traditional high-availability pattern: Preservica does not provide active/active or active/passive geographic or local resilience configurations, and customers receive a single application server environment. Resilience is provided instead by the durability of the underlying cloud storage layer and by Preservica's recovery commitments — a Recovery Time Objective of 4 hours and a Recovery Point Objective of 24 hours — which are tested at least semi-annually, with control effectiveness independently audited within Preservica's annual SOC 2 Type II report. Recovery measures are deliberately designed so that customer data remains within the contracted residency region, with no cross-region movement outside agreed jurisdictional boundaries. The application availability commitment is 99.5%, measured monthly.</t>
  </si>
  <si>
    <t>DCTR-08</t>
  </si>
  <si>
    <t>Preservica provides an Application Availability commitment of 99.5%, measured monthly and excluding planned maintenance and other agreed exclusions. As a digital preservation platform, the service is generally not treated by customers as a business-critical or essential system, and it is therefore not architected to a traditional high-availability pattern: Preservica does not provide active/active or active/passive geographic or local resilience configurations, and customers receive a single application server environment. This keeps the service cost-effective given its archival nature. Confidentiality and integrity of stored data remain the priority. Preservica's Recovery Time Objective is 4 hours and its Recovery Point Objective is 24 hours; these are tested at least semi-annually and their control effectiveness is independently audited within Preservica's annual SOC 2 Type II report. The Business Continuity Plan is tested at least annually. Data integrity is additionally assured by the platform's fixity checking, which periodically re-computes the hash of every stored file against the value on record and alerts on any discrepancy.</t>
  </si>
  <si>
    <t>DCTR-09</t>
  </si>
  <si>
    <t>DCTR-10</t>
  </si>
  <si>
    <t>DCTR-11</t>
  </si>
  <si>
    <t>DCTR-12</t>
  </si>
  <si>
    <t>DCTR-13</t>
  </si>
  <si>
    <t>DCTR-14</t>
  </si>
  <si>
    <t>Multi-factor authentication is enforced for Preservica staff access, including all administrative accounts. Supported methods, in order of preference, are FIDO2 security keys, authenticator application push approval, and one-time-password authenticator applications. Privileged accounts must be separate from the user's day-to-day account, privileged rights are restricted, recorded and not granted by default, and remote access is via secure VPN protected by directory accounts that themselves require multi-factor authentication. Password requirements meet defined length and complexity standards, with a longer minimum length mandated for privileged accounts, and a company-approved password manager is mandated for all users and must itself be protected by multi-factor authentication. These controls fall within the scope of Preservica's ISO/IEC 27001:2022 certification and are independently tested within its annual SOC 2 Type II audit.</t>
  </si>
  <si>
    <t>DCTR-15</t>
  </si>
  <si>
    <t>Preservica builds and maintains its own hardened machine images based on CIS Benchmarks, rather than relying on the cloud provider's pre-hardened images. Images and all infrastructure components deployed into production — compute resources, databases, storage containers and network objects — are built, provisioned and managed using Infrastructure as Code, and application deployment to production is automated, so that hardening is applied consistently across every environment and the risk of human error or configuration drift is reduced. System hardening and deployment procedures are documented within Preservica's ISO/IEC 27001:2022 certified management system.</t>
  </si>
  <si>
    <t>DCTR-16</t>
  </si>
  <si>
    <t>Customer data at rest is encrypted using AES-256. Encryption keys are generated and held within the cloud service provider's key management service, which is the standard model for the hosting platform, so the provider necessarily holds the key material as part of that managed service. Preservica administers key policy, generation, storage, distribution, rotation, revocation, backup and destruction in accordance with documented procedures; keys are protected against unauthorised access, are stored separately from the encrypted data where technically feasible, and access is restricted to authorised personnel on a least-privilege basis. Customers hosted on dedicated infrastructure — a separate cloud account or subscription — have unique encryption keys that are not shared with any other customer. Any known or suspected key compromise is treated as a security incident and handled under documented cryptographic key compromise procedures. Encryption and key management are subject to independent assurance through Preservica's ISO/IEC 27001:2022 certification and annual SOC 2 Type II audit. Data in transit is protected by TLS 1.2 or TLS 1.3 only.</t>
  </si>
  <si>
    <t>FIDP-01</t>
  </si>
  <si>
    <t>Ingress from public to private networks is controlled by cloud-native stateful network access controls operating on a deny-by-default basis, permitting only the specific services required. All cloud environments are contained within isolated virtual private networks; communication between environments is prohibited by default and permitted only where strictly necessary and explicitly approved, and production and non-production networks are logically separated. Servers additionally run host-based firewalls that drop all inbound traffic other than known services. Rules are managed by Preservica's Cloud Operations team under the documented change management process.</t>
  </si>
  <si>
    <t>FIDP-02</t>
  </si>
  <si>
    <t>Firewall and network access control changes are managed under Preservica's documented Change Management procedure, which governs the authorisation, testing and approval of all system changes and is independently tested within Preservica's annual SOC 2 Type II audit. Changes are documented in tickets and subject to quality assurance before implementation. A Change Advisory Board, comprising the Cloud Operations team and chaired by the Operations Director as Change Manager, meets on a fortnightly cycle and approves or denies requests on a holistic view of all changes in the period. The procedure provides for rollback of changes where necessary, and production access is restricted to authorised Operations staff.</t>
  </si>
  <si>
    <t>FIDP-03</t>
  </si>
  <si>
    <t>Preservica has implemented Extended Detection and Response (XDR) capabilities across all applicable infrastructure, providing network-based intrusion detection. Detections feed 24x7x365 security operations centre and SIEM monitoring, with relevant infrastructure logs retained for a minimum of 30 days. Coverage of these controls is independently tested within Preservica's annual SOC 2 Type II audit.</t>
  </si>
  <si>
    <t>FIDP-04</t>
  </si>
  <si>
    <t>Preservica has implemented Extended Detection and Response (XDR) capabilities across all applicable infrastructure, providing host-based intrusion detection on service hosts in addition to network-based detection. Detections feed 24x7x365 security operations centre and SIEM monitoring, with relevant infrastructure logs retained for a minimum of 30 days. Coverage of these controls is independently tested within Preservica's annual SOC 2 Type II audit.</t>
  </si>
  <si>
    <t>FIDP-05</t>
  </si>
  <si>
    <t>Changes to network, firewall and intrusion detection and prevention configuration are recorded as documented change tickets under Preservica's Change Management procedure, which is independently tested within its annual SOC 2 Type II audit. Preservica collects, collates and monitors the underlying infrastructure logs for the service, retaining them for a minimum of 30 days and feeding them into 24x7x365 security operations centre and SIEM monitoring. Logs are shipped to a central SIEM, so local modification is detectable, and access to log data is restricted to authorised personnel.</t>
  </si>
  <si>
    <t>FIDP-06</t>
  </si>
  <si>
    <t>Approval authority is documented within Preservica's Change Management procedure. Network and firewall changes are approved by the Change Advisory Board, which comprises the Cloud Operations team and is chaired by the Operations Director in the role of Change Manager. The Chief Information Security Officer holds approval authority for security-related changes. Approval records are maintained as part of the change ticket and are independently tested within Preservica's annual SOC 2 Type II audit.</t>
  </si>
  <si>
    <t>FIDP-07</t>
  </si>
  <si>
    <t>Preservica has implemented Extended Detection and Response (XDR) capabilities across all applicable infrastructure, providing network-based intrusion prevention as well as detection. This operates alongside deny-by-default network access controls, distributed denial-of-service protection on all customer environments, and a Cloudflare Web Application Firewall on Professional edition environments and above. Activity is monitored on a 24x7x365 basis by security operations centre and SIEM monitoring.</t>
  </si>
  <si>
    <t>FIDP-08</t>
  </si>
  <si>
    <t>Preservica has implemented Extended Detection and Response (XDR) capabilities across all applicable infrastructure, providing host-based intrusion prevention on service hosts. Service hosts additionally run host-based firewalls that drop all inbound traffic other than known services. Activity is monitored on a 24x7x365 basis by security operations centre and SIEM monitoring, with relevant infrastructure logs retained for a minimum of 30 days.</t>
  </si>
  <si>
    <t>FIDP-09</t>
  </si>
  <si>
    <t>Preservica has implemented Extended Detection and Response (XDR) capabilities across all applicable infrastructure, with 24x7x365 security operations centre and SIEM monitoring of platform activity. This is supported by a threat management capability drawing on multiple sources — software vendors, trusted third parties, open-source intelligence, customer feedback and information security communities — with Preservica's Information Security team maintaining active subscriptions to threat intelligence and vulnerability feeds. Continuous infrastructure vulnerability detection and response operates across the platform and is reviewed at least monthly.</t>
  </si>
  <si>
    <t>FIDP-10</t>
  </si>
  <si>
    <t>Both. Intrusion monitoring is performed by Preservica's own Information Security and Cloud Operations teams and, on a 24x7x365 basis, by a third-party Managed Security Services Partner providing security operations centre and SIEM services. The Managed Security Services Partner monitors infrastructure and security telemetry only and does not have access to institutional data held in the platform. The outsourced arrangement is described in Preservica's SOC 2 Type II report, which is available to customers on request.</t>
  </si>
  <si>
    <t>FIDP-11</t>
  </si>
  <si>
    <t>Security monitoring operates continuously, 24 hours a day, every day of the year. A third-party Managed Security Services Partner provides security operations centre and SIEM monitoring on a 24x7x365 basis, monitoring infrastructure and security telemetry only and without access to institutional data held in the platform. Detections are triaged against an established runbook that escalates confirmed issues to the appropriate Preservica personnel for response, and the partner can support incidents at any severity. Relevant infrastructure logs are retained for a minimum of 30 days. These arrangements are described in Preservica's SOC 2 Type II report, which is available to customers on request.</t>
  </si>
  <si>
    <t>HFIH-01</t>
  </si>
  <si>
    <t>Yes. Preservica maintains a documented Incident Management Policy supported by a Cyber Incident Response Plan with scenario-specific playbooks and a Crisis Management Communications Plan governing internal and external communications, with hard copies held offline for resilience. The Chief Information Security Officer holds overall responsibility. Incidents are classified by severity with defined internal notification and escalation paths; where personal data has been, or is likely to have been, affected, Preservica's Data Protection Officer is engaged as part of that escalation path and advises on assessment, containment and notification. All incidents are documented with root-cause analysis and a lessons-learned review within seven days of recovery, with evidence retained for a minimum of three years, and findings from exercises and actual incidents are presented to the Leadership Team. A full response exercise is conducted at least annually. All employees, temporary staff and contractors are trained on incident identification and reporting at onboarding and annually thereafter. These controls fall within the scope of Preservica's ISO/IEC 27001:2022 certification and are independently tested within its annual SOC 2 Type II audit. Compliance documentation is available at https://preservica.com/trust-center.</t>
  </si>
  <si>
    <t>HFIH-02</t>
  </si>
  <si>
    <t>Both. Preservica maintains an internal incident response capability led by the Chief Information Security Officer, with defined severity classification and internal notification and escalation paths, supplemented by retained external incident response support. Incidents are reported by any member of staff — all employees, temporary staff and contractors are trained on incident identification and reporting at onboarding and annually — triaged and classified by severity, managed under the Cyber Incident Response Plan and its scenario-specific playbooks, and communicated under the Crisis Management Communications Plan. Confirmed incidents affecting an institution's environment, and confirmed breaches affecting its data, are notified to that institution; notification timescales are as set out in the customer's agreement. Every incident is closed out with root-cause analysis and a lessons-learned review within seven days of recovery, with findings presented to the Leadership Team.</t>
  </si>
  <si>
    <t>HFIH-03</t>
  </si>
  <si>
    <t>Yes. Preservica has engaged a Managed Security Services Partner providing security operations centre and SIEM services on a 24x7x365 basis, and that partner can support incidents at any severity. An established runbook ensures that detections are escalated to the appropriate Preservica personnel for response, under the ownership of the Chief Information Security Officer and in line with the Cyber Incident Response Plan and its scenario-specific playbooks. Preservica also retains access to specialist external incident response support. These arrangements are described in Preservica's SOC 2 Type II report, which is available to customers on request.</t>
  </si>
  <si>
    <t>HFIH-04</t>
  </si>
  <si>
    <t>Yes. Preservica maintains cyber insurance, which includes access to specialist incident response support. Coverage terms, and any remedies available to the institution, are as set out in the institution's signed agreement with Preservica.</t>
  </si>
  <si>
    <t>VULN-01</t>
  </si>
  <si>
    <t>VULN-02</t>
  </si>
  <si>
    <t>Preservica provides the summary report of its independent annual penetration test, conducted by a CREST-certified third party across application, API and infrastructure layers, together with a cover letter from Preservica's Chief Information Security Officer summarising the current status of findings. Existing customers may request this directly; prospective customers will be asked to sign a non-disclosure agreement first. Requests should be sent to Information.Security@preservica.com. Preservica's SOC 2 Type II report, covering an audit period running from October to September each year, is also available to customers on request, and certification documentation is published at https://preservica.com/trust-center. Raw output from internal scanning tooling is not released.</t>
  </si>
  <si>
    <t>VULN-03</t>
  </si>
  <si>
    <t>Customer-initiated security testing is available to institutions on dedicated-infrastructure editions — Enterprise Plus and Enterprise Plus with Performance Pack. It is not permitted on multi-tenant environments under any circumstances, because testing activity cannot be scoped so as to protect the other customers sharing that infrastructure. Eligible institutions submit a Customer Security Testing Request and must receive written approval from Preservica's Information Security team before testing commences. The form captures the specific scanning targets and scanning source addresses, at least two proposed discrete and time-bounded testing windows (typically one to five business days), and the type and depth of testing requested. A minimum of 30 days' notice is required before the earliest proposed start date, so that Preservica can coordinate with its security operations centre, Cloud Operations team, network operators and cloud service providers — without that coordination, legitimate scanning traffic could trigger security alerts or automated blocking and disrupt the test or the service. An institution may appoint a third-party security firm to test on its behalf, provided the firm is identified in the request and is subject to the same scope, source and timing constraints. Continuous or open-ended scanning, denial-of-service testing, and any expansion beyond the approved targets, sources and time window are not permitted. Results must be shared with Preservica's Information Security team at the conclusion of testing, and both parties jointly review findings before remediation timelines are discussed. Requests should be sent to Information.Security@preservica.com.</t>
  </si>
  <si>
    <t>VULN-04</t>
  </si>
  <si>
    <t>Preservica commissions an independent penetration test at least annually, conducted by a CREST-certified third-party firm and covering the application, API and infrastructure layers. Preservica also undergoes an annual SOC 2 Type II audit by an independent auditor, with a report period running from October to September each year, and is independently certified to ISO/IEC 27001:2022 and ISO 9001:2015, with Cyber Essentials and Cyber Essentials Plus certification and TX-RAMP and AZRAMP certifications. The penetration test summary report is available on request together with a cover letter from Preservica's Chief Information Security Officer summarising the current status of findings; existing customers may request it directly, and prospective customers will be asked to sign a non-disclosure agreement first. Requests should be sent to Information.Security@preservica.com. Certification documentation is published at https://preservica.com/trust-center.</t>
  </si>
  <si>
    <t>VULN-05</t>
  </si>
  <si>
    <t>VULN-06</t>
  </si>
  <si>
    <t>Dynamic Application Security Testing is performed externally against every release candidate as a release gate, so all released versions are covered. Infrastructure vulnerability scanning runs continuously across the platform and is reviewed at least monthly; for cloud infrastructure, scanning is conducted against a representative sample of environments, since the use of Infrastructure as Code provides an acceptable level of certainty that environments are identically configured. In addition, an independent manual penetration test is conducted at least annually by a CREST-certified third-party firm covering application, API and infrastructure layers. The penetration test summary report is available on request with a cover letter from Preservica's Chief Information Security Officer; existing customers may request it directly and prospective customers will be asked to sign a non-disclosure agreement first. Requests should be sent to Information.Security@preservica.com. Preservica also subscribes to threat intelligence and vulnerability feeds and draws on software vendors, trusted third parties, open-source intelligence, customer feedback and information security communities as part of its threat management capability.</t>
  </si>
  <si>
    <r>
      <rPr>
        <b/>
        <sz val="20"/>
        <color rgb="FFFFFFFF"/>
        <rFont val="Verdana"/>
        <family val="2"/>
      </rPr>
      <t xml:space="preserve">HECVAT Solution Provider Response - </t>
    </r>
    <r>
      <rPr>
        <b/>
        <i/>
        <sz val="20"/>
        <color rgb="FFFFFFFF"/>
        <rFont val="Verdana"/>
        <family val="2"/>
      </rPr>
      <t>IT Accessibility</t>
    </r>
  </si>
  <si>
    <t>ITAC-01</t>
  </si>
  <si>
    <t>Product Management</t>
  </si>
  <si>
    <t>ITAC-02</t>
  </si>
  <si>
    <t>ITAC-03</t>
  </si>
  <si>
    <t>accessibility@preservica.com</t>
  </si>
  <si>
    <t>ITAC-04</t>
  </si>
  <si>
    <t>ITAC-05</t>
  </si>
  <si>
    <t>Preservica's accessibility statement and current VPAT are published at Preservica's Trust Center: https://preservica.com/trust-center</t>
  </si>
  <si>
    <t>ITAC-06</t>
  </si>
  <si>
    <t>The current report was completed 2025-07-24. This is updated after each update to the SaaS Platform.
https://preservica.com/preservica-vpat-wcag-508-edition-report-access-request</t>
  </si>
  <si>
    <t>ITAC-07</t>
  </si>
  <si>
    <t>ITAC-08</t>
  </si>
  <si>
    <t>ITAC-09</t>
  </si>
  <si>
    <t>Accessibility issues are reported and tracked through Preservica's standard product issue management process, using the same intake, triage, prioritisation and resolution workflow applied to all other product issues, with accessibility items explicitly identified for tracking. Accessibility issues and enquiries can also be raised directly with Preservica at accessibility@preservica.com.</t>
  </si>
  <si>
    <t>ITAC-10</t>
  </si>
  <si>
    <t>Preservica publishes an accessibility statement and a current VPAT/Accessibility Conformance Report describing the accessibility characteristics of the solution, both available at Preservica's Trust Center: https://preservica.com/trust-center. Product documentation and Preservica Academy training material additionally cover accessibility-related interface options available to users.</t>
  </si>
  <si>
    <t>ITAC-11</t>
  </si>
  <si>
    <t>ITAC-12</t>
  </si>
  <si>
    <t>Processes for verifying Accessibility conformance has been documented and implemented across product, development, and test teams.</t>
  </si>
  <si>
    <t>ITAC-13</t>
  </si>
  <si>
    <t>Preservica has adopted the Web Content Accessibility Guidelines (WCAG) 2.2 Level AA as its accessibility conformance standard. Preservica's accessibility statement and current VPAT/Accessibility Conformance Report, which record conformance against that standard, are published at Preservica's Trust Center: https://preservica.com/trust-center</t>
  </si>
  <si>
    <t>ITAC-14</t>
  </si>
  <si>
    <t>https://preservica.com/accessibility</t>
  </si>
  <si>
    <t>ITAC-15</t>
  </si>
  <si>
    <t>We provide internal training on the importance of Accessibility.</t>
  </si>
  <si>
    <t>ITAC-16</t>
  </si>
  <si>
    <t>Preservica operates a documented secure development lifecycle covering requirements specification, system design, development, testing and deployment, applicable to all personnel performing development, testing or QA on released products. System designs are peer-reviewed at regular Technical Review meetings attended by senior engineers, DevOps and Operations personnel and an Information Security representative, and code changes require second-person review and approval before acceptance into the main branch. Accessibility requirements are handled within this lifecycle, with accessibility items explicitly identified and tracked through to release.</t>
  </si>
  <si>
    <t>ITAC-17</t>
  </si>
  <si>
    <t>Not all functions can currently be performed using the keyboard alone. Preservica has adopted WCAG 2.2 Level AA as its accessibility conformance standard and is progressively improving keyboard operability towards it; full keyboard operability is a high priority. The current position for each success criterion is recorded in Preservica's VPAT/Accessibility Conformance Report, available at Preservica's Trust Center: https://preservica.com/trust-center</t>
  </si>
  <si>
    <t>ITAC-18</t>
  </si>
  <si>
    <r>
      <t xml:space="preserve">HECVAT Solution Provider Response - </t>
    </r>
    <r>
      <rPr>
        <b/>
        <i/>
        <sz val="20"/>
        <color theme="0"/>
        <rFont val="Verdana"/>
        <family val="2"/>
      </rPr>
      <t>Case-Specific</t>
    </r>
    <r>
      <rPr>
        <b/>
        <sz val="20"/>
        <color theme="0"/>
        <rFont val="Verdana"/>
        <family val="2"/>
      </rPr>
      <t xml:space="preserve"> </t>
    </r>
    <r>
      <rPr>
        <b/>
        <i/>
        <sz val="20"/>
        <color theme="0"/>
        <rFont val="Verdana"/>
        <family val="2"/>
      </rPr>
      <t>Questions</t>
    </r>
  </si>
  <si>
    <t>CONS-01</t>
  </si>
  <si>
    <t>Professional Services are delivered against the customer's own Preservica environment; access to the institution's network, systems or infrastructure is not required. Where an engagement requires ongoing access to the customer's Preservica environment, that access is granted by the customer at the start of the engagement, is least-privilege, logged and auditable, and can be withdrawn by the customer at any time. Preservica reviews staff access rights at least every six months and removes them when the business need ends.</t>
  </si>
  <si>
    <t>CONS-02</t>
  </si>
  <si>
    <t>All Preservica staff, temporary staff, consultants and third parties with access to Preservica or customer information complete mandatory security awareness training during onboarding and at least annually thereafter, with additional training provided following significant security incidents or material regulatory, policy or technology changes. Training covers data classification, information handling, and the secure transmission, storage, retention and disposal of sensitive customer information, alongside phishing and social engineering, acceptable use, and incident and breach reporting procedures. Personnel holding privileged access, or access to customer data, receive additional role-based training on the secure handling, storage, transmission, access, disclosure and disposal of sensitive information, including their responsibilities for breach identification and reporting. Where third parties or consultants are engaged, Preservica requires by contract that their security awareness training is equal to or greater than that required of Preservica employees; where suitable training cannot be verified, they are enrolled in Preservica's own programme. All staff are additionally screened prior to engagement, and staff in Customer Support, Operations, Information Security and Finance complete an annual criminal background check.</t>
  </si>
  <si>
    <t>CONS-03</t>
  </si>
  <si>
    <t>Professional Services engagements are performed within the customer's own Preservica environment, and customer content is not routinely held by Preservica personnel. Where customer content is held on a Preservica endpoint, full-disk encryption is applied in line with industry standards and best practice. Customer data held within the Preservica service is encrypted at rest using AES-256, with key management provided by the underlying cloud platform's key management service; customers on dedicated infrastructure have unique encryption keys that are not shared.</t>
  </si>
  <si>
    <t>CONS-04</t>
  </si>
  <si>
    <t>Customers may enable IP whitelisting, which restricts access to the IP addresses the customer provides, together with Preservica's office addresses and Preservica's infrastructure monitoring platform. Where IP whitelisting is not enabled, access is restricted to authenticated users from any location, other than content the customer has specifically selected for public disclosure through Universal Access or a public Portal.</t>
  </si>
  <si>
    <t>CONS-05</t>
  </si>
  <si>
    <t>CONS-06</t>
  </si>
  <si>
    <t>CONS-07</t>
  </si>
  <si>
    <t>CONS-08</t>
  </si>
  <si>
    <t>Professional Services work is performed within the customer's own Preservica environment, and customer content is not routinely transferred into Preservica's possession. Where a customer commissions a migration or consolidation engagement, content is moved between the customer's systems and their Preservica environment at the customer's direction and under the terms of that engagement.</t>
  </si>
  <si>
    <t>CONS-09</t>
  </si>
  <si>
    <t>HIPA-01</t>
  </si>
  <si>
    <t>HIPA-02</t>
  </si>
  <si>
    <t>HIPA-03</t>
  </si>
  <si>
    <t>HIPA-04</t>
  </si>
  <si>
    <t>HIPA-05</t>
  </si>
  <si>
    <t>HIPA-06</t>
  </si>
  <si>
    <t>HIPA-07</t>
  </si>
  <si>
    <t>HIPA-08</t>
  </si>
  <si>
    <t>HIPA-09</t>
  </si>
  <si>
    <t>HIPA-10</t>
  </si>
  <si>
    <t>HIPA-11</t>
  </si>
  <si>
    <t>HIPA-12</t>
  </si>
  <si>
    <t>HIPA-13</t>
  </si>
  <si>
    <t>HIPA-14</t>
  </si>
  <si>
    <t>HIPA-15</t>
  </si>
  <si>
    <t>HIPA-16</t>
  </si>
  <si>
    <t>HIPA-17</t>
  </si>
  <si>
    <t>HIPA-18</t>
  </si>
  <si>
    <t>HIPA-19</t>
  </si>
  <si>
    <t>HIPA-20</t>
  </si>
  <si>
    <t>HIPA-21</t>
  </si>
  <si>
    <t>HIPA-22</t>
  </si>
  <si>
    <t>HIPA-23</t>
  </si>
  <si>
    <t>HIPA-24</t>
  </si>
  <si>
    <t>HIPA-25</t>
  </si>
  <si>
    <t>HIPA-26</t>
  </si>
  <si>
    <t>HIPA-27</t>
  </si>
  <si>
    <t>HIPA-28</t>
  </si>
  <si>
    <t>HIPA-29</t>
  </si>
  <si>
    <t>PCID-01</t>
  </si>
  <si>
    <t>PCID-02</t>
  </si>
  <si>
    <t>PCID-03</t>
  </si>
  <si>
    <t>PCID-04</t>
  </si>
  <si>
    <t>PCID-05</t>
  </si>
  <si>
    <t>PCID-06</t>
  </si>
  <si>
    <t>PCID-07</t>
  </si>
  <si>
    <t>PCID-08</t>
  </si>
  <si>
    <t>PCID-09</t>
  </si>
  <si>
    <t>PCID-10</t>
  </si>
  <si>
    <t>PCID-11</t>
  </si>
  <si>
    <t>PCID-12</t>
  </si>
  <si>
    <t>OPEM-01</t>
  </si>
  <si>
    <t>OPEM-02</t>
  </si>
  <si>
    <t>OPEM-03</t>
  </si>
  <si>
    <t>OPEM-04</t>
  </si>
  <si>
    <t>OPEM-05</t>
  </si>
  <si>
    <t>OPEM-06</t>
  </si>
  <si>
    <t>OPEM-07</t>
  </si>
  <si>
    <t>OPEM-08</t>
  </si>
  <si>
    <t>OPEM-09</t>
  </si>
  <si>
    <t>OPEM-10</t>
  </si>
  <si>
    <r>
      <t>HECVAT Solution Provider Response -</t>
    </r>
    <r>
      <rPr>
        <b/>
        <i/>
        <sz val="20"/>
        <color theme="0"/>
        <rFont val="Verdana"/>
        <family val="2"/>
      </rPr>
      <t xml:space="preserve"> AI</t>
    </r>
  </si>
  <si>
    <t>AIQU-01</t>
  </si>
  <si>
    <t>Preservica's optional AI-assisted capabilities are built on machine learning models that are pre-trained by their original providers or open-source projects before Preservica integrates them. Preservica does not control or supplement those training datasets and does not train or fine-tune any model itself. Underlying models may be changed over time provided equivalent security, privacy and trust controls are maintained.</t>
  </si>
  <si>
    <t>AIQU-02</t>
  </si>
  <si>
    <t>Preservica currently leverages a mix of machine learning based models and small language models to deliver its AI features. We have no intention of offering a large language model within Preservica at this time.</t>
  </si>
  <si>
    <t>AIGN-01</t>
  </si>
  <si>
    <t>AI capabilities are assessed within Preservica's established risk management programme, which covers all corporate operations including the Preservica service, operates within Preservica's certified management systems and is independently audited. Risks are assessed on a likelihood and impact basis, and every risk is reviewed at least annually or more frequently where the residual risk level requires it. System designs, including those for AI-assisted capabilities, are assessed against the OWASP Top 10 (2025) categories during the design phase and are peer-reviewed at technical review meetings that include an Information Security representative. Preservica acts as a Deployer of AI systems under Regulation (EU) 2024/1689, selecting and integrating models for defined low-risk use cases, applying safeguards and maintaining human oversight.</t>
  </si>
  <si>
    <t>AIGN-02</t>
  </si>
  <si>
    <t>AI-assisted capabilities are disabled by default and no AI processing occurs unless a customer explicitly enables it. Once enabled, access can be further restricted to named users through administrative control and the platform's standard role-based access control, so that AI capabilities are available only to authorised users and defined use cases. Role permissions can additionally be scoped to specific content, and customers can define custom roles.</t>
  </si>
  <si>
    <t>AIGN-03</t>
  </si>
  <si>
    <t>Preservica delivers role-aligned training covering AI awareness and literacy, responsible use of AI, information security, and data protection obligations, as part of its wider security and compliance training programme. AI literacy is maintained as an obligation of Preservica's role as a Deployer of AI systems under Regulation (EU) 2024/1689. Core policies are read and acknowledged by all staff on hire and annually thereafter, with additional role-specific policies applying to development and product teams.</t>
  </si>
  <si>
    <t>AIGN-04</t>
  </si>
  <si>
    <t>AIGN-05</t>
  </si>
  <si>
    <t>Customers determine what content, if any, is submitted for AI processing. AI-assisted capabilities are disabled by default and are enabled selectively by users with a specific role. Role permissions can be scoped to specific content using customer-defined Security Tags, so content the customer has designated as sensitive can be placed outside the scope of workflows able to invoke AI processing. Customers may also apply metadata, including custom metadata schemas, to organise content for this purpose. Preservica does not prescribe or restrict the types of data customers store, and customers remain responsible for determining the classification and sensitivity of their own content.</t>
  </si>
  <si>
    <t>AIPL-01</t>
  </si>
  <si>
    <t>Preservica maintains an AI policy within its Information Security Management System, alongside its Information Security, Secure Development, Data Protection, Access Control and related policies. Every policy has an assigned owner and approver and is reviewed at least annually, on material change in the environment, or following an incident. Staff read and acknowledge core policies on hire and annually thereafter, with additional role-specific policies applying to development and product teams. Effective implementation is evidenced through Preservica's certifications and independent audit reports, including ISO/IEC 27001:2022 and an annual SOC 2 Type II audit; certificates and compliance documentation are available via Preservica's Trust Center at https://preservica.com/trust-center. The full document register can be shared with prospective customers under non-disclosure agreement, or with existing customers under the audit provisions of their agreement.</t>
  </si>
  <si>
    <t>AIPL-02</t>
  </si>
  <si>
    <t>AI-related risks are identified and assessed within Preservica's risk management programme, which covers the Preservica service alongside all other corporate operations, operates within Preservica's certified management systems, and is independently audited. Risks are assessed on a likelihood and impact basis, with information security asset risks additionally assessed for impact on confidentiality, integrity and availability. Every risk is reviewed at least annually, or more frequently where the residual risk level requires it. Risks assessed above tolerance must be terminated, transferred or mitigated. AI-specific risks, including prompt injection and comparable model-manipulation risks, are addressed by restricting capabilities to clearly defined use cases, maintaining human oversight of outputs, and applying configuration controls. The Chief Information Security Officer manages the programme day to day.</t>
  </si>
  <si>
    <t>AIPL-03</t>
  </si>
  <si>
    <t>AI-assisted capabilities are configuration-controlled and off by default, so they can be turned off promptly at tenant level, and access can be withdrawn from individual users through role-based access control. No AI capability operates autonomously, so disabling one does not interrupt preservation or access to content already held in the platform. Preservica maintains an Incident Management Policy supported by a cyber incident response plan with scenario-specific playbooks and a crisis management communications plan, with defined severity classification and escalation paths; a full response exercise is conducted at least annually.</t>
  </si>
  <si>
    <t>AIPL-04</t>
  </si>
  <si>
    <t>Because AI-assisted capabilities are governed by configuration and role-based access control rather than by code changes, they can be re-enabled as promptly as they were disabled, once the conditions that prompted the change have been resolved. Preservica's incident management process requires root-cause analysis and a lessons-learned review within seven days of recovery, and findings from incidents and exercises are presented to the Leadership Team, so any re-enablement follows a documented review.</t>
  </si>
  <si>
    <t>AIPL-05</t>
  </si>
  <si>
    <t>Preservica maintains an AI policy within its Information Security Management System that addresses the potential negative impacts of AI and the controls applied to manage them, reviewed at least annually. Procedurally, AI-assisted capabilities are restricted to clearly defined low-risk archival use cases, are disabled by default and enabled only by explicit customer action, and produce outputs that are presented for human review rather than acted on autonomously. Preservica acts as a Deployer of AI systems under Regulation (EU) 2024/1689 and maintains human oversight, staff AI literacy and defined safeguards accordingly, with customers retaining control over whether AI capabilities are enabled, what content is submitted, and how outputs are used. AI-specific risks, including prompt injection, are mitigated through use-case restriction, human oversight and configuration controls, and are managed within Preservica's wider risk management programme.</t>
  </si>
  <si>
    <t>AISC-01</t>
  </si>
  <si>
    <t>No customer data is retained by any AI model Preservica uses. Customer data is never used to train or fine-tune any AI model; models are used for inference only, and prompts and outputs are not retained by the models for learning. There is therefore no model-resident copy of customer content from which data would need to be removed. Content submitted for AI processing, and any AI-generated output stored against it, remains customer data within the customer's own environment, subject to the customer's ownership and control and removable by the customer at any time in the same way as any other content.</t>
  </si>
  <si>
    <t>AISC-02</t>
  </si>
  <si>
    <t>Customer data is not used to train or fine-tune any AI model Preservica uses. Models are used for inference only, and prompts and outputs are not retained by the models for learning. The models are pre-trained by their original providers or open-source projects before Preservica integrates them, and Preservica neither controls nor supplements those training datasets. There is no feedback loop by which customer content or user activity influences model behaviour.</t>
  </si>
  <si>
    <t>AISC-03</t>
  </si>
  <si>
    <t>Any changes to entities are logged within the existing Event history of an entity which captures all and any changes made to it (AI or otherwise), is retained alongside the entity (for however long it exists), and is immutable AI actions run by a specific user on content already in the system are logged with a date, username, and action taken (e.g. MetadataClustering and MetadataCluster Edit for Metadata quality check). AI actions applied automatically on ingest (based on a privileged user configuring their Enrichment policy to do so) are logged within the same report as part of ingest actions without explicitly being labelled as AI, with a date, action and username of the user who configured the ingest workflow, not necessarily the user who ingested the content.</t>
  </si>
  <si>
    <t>AISC-04</t>
  </si>
  <si>
    <t>Preservica's AI-assisted capabilities do not expose a free-text prompt interface to end users. The input to each capability is content the customer has already ingested into the platform — a scanned image, a document, an image file, or an audio or video file — invoked through a defined workflow with a fixed processing task, rather than user-composed instructions. The available inputs are therefore bounded by the platform's ingest controls. At ingest the platform either generates a cryptographic hash of each file or validates a customer-supplied hash, and a mismatch against a supplied hash fails the ingest at that point; stored files are subsequently re-hashed periodically against the value on record, with discrepancies alerted to Preservica's operations team and, optionally, to the customer. Supported hash algorithms are MD5, SHA-1, SHA-256 and SHA-512, configurable by the customer. Optical character recognition, identification of personally identifiable information, and audio and video transcription are performed within the Preservica service; image description temporarily uses vision model services provided by the same cloud provider that already hosts the customer's environment. In an upcoming release, image description will also be performed within the Preservica service instead. Prompt injection and comparable model-manipulation risks are mitigated by restricting each capability to a clearly defined use case, maintaining human review of outputs, and applying configuration controls. Access to AI capabilities is governed by role-based access control, and customers determine what content is submitted.</t>
  </si>
  <si>
    <t>AISC-05</t>
  </si>
  <si>
    <t>AIML-01</t>
  </si>
  <si>
    <t>Preservica does not train or fine-tune any machine learning model and therefore holds no machine learning training data to separate. The models underpinning Preservica's AI-assisted capabilities are pre-trained by their original providers or by open-source projects before Preservica integrates them, and Preservica neither controls nor supplements those training datasets. Customer data is never used to train or fine-tune any model; models are used for inference only.</t>
  </si>
  <si>
    <t>AIML-02</t>
  </si>
  <si>
    <t>There is no automated feedback loop from Preservica's AI-assisted capabilities into model behaviour — models are used for inference only and are not retrained or tuned on their own outputs or on user interaction. Model outputs are presented to the customer for human review and are not acted on autonomously, so verification of AI output rests with a named, authenticated user acting within their assigned role. Preservica maintains human oversight of AI outputs as an obligation of its role as a Deployer of AI systems under Regulation (EU) 2024/1689, and AI-assisted capabilities are covered by Preservica's continuous application security testing programme, including static analysis at every pull request and dynamic testing as a release gate.</t>
  </si>
  <si>
    <t>AIML-03</t>
  </si>
  <si>
    <t>Preservica does not train or fine-tune any machine learning model and holds no training data of its own to vet or validate. The models used are pre-trained by their original providers or by open-source projects prior to integration, and Preservica does not control or supplement those training datasets. Customer data is never used for training or fine-tuning.</t>
  </si>
  <si>
    <t>AIML-04</t>
  </si>
  <si>
    <t>Preservica does not train or fine-tune any machine learning model and therefore holds no training data to monitor or audit. Training datasets belong to the original model providers or open-source projects and are outside Preservica's control. Customer data is never used for training or fine-tuning.</t>
  </si>
  <si>
    <t>AIML-05</t>
  </si>
  <si>
    <t>Preservica does not train or fine-tune any machine learning model and holds no machine learning training data to which access would need to be restricted. Access to customer content within the platform is governed by role-based access control and, on the Preservica side, by the principle of least privilege.</t>
  </si>
  <si>
    <t>AIML-06</t>
  </si>
  <si>
    <t>Preservica does not train or fine-tune models and therefore does not perform adversarial training. Model-manipulation risks, including prompt injection, are instead mitigated at the architecture and process level: each AI-assisted capability is restricted to a single clearly defined use case with a fixed processing task rather than user-composed instructions, outputs are presented for human review rather than acted on autonomously, capabilities are disabled by default and enabled only by explicit customer action, and access is governed by role-based access control and configuration controls. Human oversight is maintained as an obligation of Preservica's role as a Deployer of AI systems under Regulation (EU) 2024/1689.</t>
  </si>
  <si>
    <t>AIML-07</t>
  </si>
  <si>
    <t>AIML-08</t>
  </si>
  <si>
    <t>Preservica does not train or fine-tune any machine learning model and holds no machine learning training data to watermark. Training datasets belong to the original model providers or open-source projects and are outside Preservica's control.</t>
  </si>
  <si>
    <t>AILM-01</t>
  </si>
  <si>
    <t>Preservica doesn't integrate any LLMs at this time.</t>
  </si>
  <si>
    <t>AILM-02</t>
  </si>
  <si>
    <t>AILM-03</t>
  </si>
  <si>
    <t>AILM-04</t>
  </si>
  <si>
    <t>AILM-05</t>
  </si>
  <si>
    <t>AILM-06</t>
  </si>
  <si>
    <t xml:space="preserve">End of worksheet </t>
  </si>
  <si>
    <r>
      <t xml:space="preserve">HECVAT Solution Provider Response - </t>
    </r>
    <r>
      <rPr>
        <b/>
        <i/>
        <sz val="20"/>
        <color theme="0"/>
        <rFont val="Verdana"/>
        <family val="2"/>
      </rPr>
      <t>Privacy</t>
    </r>
  </si>
  <si>
    <t>PRGN-01</t>
  </si>
  <si>
    <t>Preservica is suitable for storing Education Records as defined under FERPA. Preservica must be designated a "School Official" with a "Legitimate Educational Interest" in the data within the contract terms and conditions; Preservica has standard clauses available to facilitate this designation, so no bespoke drafting is normally required.</t>
  </si>
  <si>
    <t>PRGN-02</t>
  </si>
  <si>
    <t>Where an institution ingests personal data subject to the UK GDPR or EU GDPR, Preservica processes it as Processor on the institution's documented instructions. Preservica maintains a Privacy Policy and a GDPR Policy, both published via the Trust Center at https://preservica.com/trust-center, has appointed a Data Protection Officer contactable at Privacy@preservica.com, and will enter into a Data Processing Agreement and Standard Contractual Clauses with the institution.</t>
  </si>
  <si>
    <t>PRGN-03</t>
  </si>
  <si>
    <t>Preservica does not restrict the categories of personal data an institution may ingest, so personal data regulated by US state privacy laws may be present where the institution chooses to store it. Preservica processes such data as Processor, on the institution's documented instructions and solely to deliver the contracted service. It is not sold, shared for cross-context behavioural advertising, or used for Preservica's own purposes.</t>
  </si>
  <si>
    <t>PRGN-04</t>
  </si>
  <si>
    <t>The platform accepts content selected and submitted by the institution, which may contain regulated information. Preservica does not inspect or filter that content and does not determine its classification; the institution determines what is ingested and its sensitivity. All such content is treated internally at Preservica's highest classification level, and Preservica processes it only as Processor on the institution's documented instructions.</t>
  </si>
  <si>
    <t>PRGN-05</t>
  </si>
  <si>
    <t>https://preservica.com/privacy-notice — Preservica's Privacy Policy and GDPR Policy are also published via the Trust Center at https://preservica.com/trust-center.</t>
  </si>
  <si>
    <t>PCOM-01</t>
  </si>
  <si>
    <t>PCOM-02</t>
  </si>
  <si>
    <t>Preservica operates its privacy programme within a certified management system. Preservica holds ISO/IEC 27001:2022 and ISO 9001:2015 certification, Cyber Essentials and Cyber Essentials Plus, and undergoes an annual SOC 2 Type II audit; certificates and compliance documentation are published via the Trust Center at https://preservica.com/trust-center. Key features of the programme: (1) Role — Preservica acts as Processor in respect of all content an institution ingests, processing it only to deliver the contracted service and on the institution's documented instructions; Preservica is Controller only for the limited personal data needed to manage the commercial relationship, for security and service monitoring of the platform, and for monitoring required by law. (2) Accountability — a Data Protection Officer is appointed and contactable at Privacy@preservica.com, reporting independently, and is engaged in the incident escalation path wherever personal data may be affected. (3) Documentation — a Privacy Policy and a GDPR Policy are published via the Trust Center, supported by a Record of Processing Activities covering the processing for which Preservica is Controller, and established Data Protection Impact Assessment templates and processes. (4) Sub-processors — the platform is hosted on AWS or Microsoft Azure as specified in the Order Form, with Cloudflare used for Professional edition and above; Preservica accepts responsibility for its sub-processors under its standard Terms and Conditions. (5) Breach notification — Preservica notifies affected institutions of any confirmed incident affecting their environment and of any confirmed breach affecting their data, within contractually committed timeframes. (6) People — all staff, temporary staff, consultants and in-scope third parties complete mandatory security and privacy awareness training on onboarding and at intervals not exceeding annually. (7) Product — AI capabilities are opt-in and disabled by default, and institutional content is never used to train or fine-tune any AI model. The Shared Responsibility Model setting out the division of privacy and security responsibilities is published at https://website-assets.preservica.com/production/resources/Shared-Responsibility-Model-Global-v1.1.pdf.</t>
  </si>
  <si>
    <t>PCOM-03</t>
  </si>
  <si>
    <t>PCOM-04</t>
  </si>
  <si>
    <t>Preservica has appointed a Data Protection Officer, contactable at Privacy@preservica.com. As a matter of company policy the role is identified by function rather than by named individual, providing a stable and continuously monitored point of contact that is unaffected by personnel changes; this is consistent with Article 37(7) of the UK GDPR and EU GDPR, which requires the DPO's contact details to be published but not the DPO's name. The Data Protection Officer is engaged in the incident escalation path wherever an incident has affected, or is likely to have affected, personal data, and advises on assessment, containment and notification.</t>
  </si>
  <si>
    <t>PDOC-01</t>
  </si>
  <si>
    <t>Preservica undergoes an annual SOC 2 Type II audit covering the period October to September each year. The current report is available to customers on request. Certifications held include ISO/IEC 27001:2022, ISO 9001:2015, Cyber Essentials and Cyber Essentials Plus, together with TX-RAMP and AZRAMP authorisations; certificates and compliance documentation are published via the Trust Center at https://preservica.com/trust-center.</t>
  </si>
  <si>
    <t>PDOC-02</t>
  </si>
  <si>
    <t>Preservica's privacy programme is built on the UK GDPR and EU GDPR, which the question names as a qualifying framework. Preservica maintains a published Privacy Policy and GDPR Policy, has appointed a Data Protection Officer, maintains a Record of Processing Activities covering the processing for which it is Controller, and operates established Data Protection Impact Assessment templates and processes. Preservica will enter into a Data Processing Agreement and Standard Contractual Clauses with the institution. Preservica's privacy controls sit within its ISO/IEC 27001:2022 certified information security management system, which is independently audited annually. Preservica is not currently certified to ISO/IEC 27701 and does not currently assert conformance with the NIST Privacy Framework.</t>
  </si>
  <si>
    <t>PDOC-03</t>
  </si>
  <si>
    <t>All Preservica staff, temporary staff, consultants and third parties with access to Preservica or customer information complete mandatory security and privacy awareness training during onboarding and thereafter at intervals not exceeding annually, with additional ad hoc training following significant incidents, threats or material regulatory, policy or technology changes. Content includes data classification, secure handling, transmission, storage, retention and disposal of sensitive customer information, phishing and social engineering, and incident and breach reporting. Privileged users and staff with access to customer data receive additional role-specific training on their responsibilities and applicable compliance requirements. All employees must read and acknowledge core policies on hire and annually thereafter, with role-specific policies for relevant teams. On termination, access rights are removed, assets are returned and recorded, and equipment is reset with user data securely wiped before reuse or disposal.</t>
  </si>
  <si>
    <t>PTHP-01</t>
  </si>
  <si>
    <t>Preservica's sub-processors are AWS or Microsoft Azure, as specified in the institution's Order Form, together with Cloudflare for Professional edition and above. Preservica accepts responsibility for its sub-processors under its standard Terms and Conditions. Supplier arrangements are governed by Preservica's Supplier Management Policy, which operates within its ISO/IEC 27001:2022 and ISO 9001:2015 certified management systems; certifications and independent attestations held by critical suppliers are reviewed at least annually under Preservica's Critical Supplier Review process. Sub-processors are approved and used on a region-dependent basis consistent with the institution's contracted data residency requirements. Where third parties or consultants have access to Preservica or customer information, Preservica ensures through contractual or equivalent means that they have security awareness training equal to or greater than that required of Preservica's own staff, and enrols them in Preservica's own programme where suitable training cannot be verified.</t>
  </si>
  <si>
    <t>PTHP-02</t>
  </si>
  <si>
    <t>Third parties with access to Preservica or customer information are assessed before engagement and reviewed thereafter under Preservica's Supplier Management Policy, which operates within its ISO/IEC 27001:2022 and ISO 9001:2015 certified management systems. For critical suppliers, including the cloud infrastructure providers hosting customer data, Preservica reviews the supplier's independent certifications and attestations at least annually under its Critical Supplier Review process. Supplier and third-party risks, including risks to personal data, are assessed within Preservica's risk management programme on a likelihood and impact basis, with every risk reviewed at least annually and more frequently where residual risk warrants it; risks above tolerance must be terminated, transferred or mitigated. Preservica maintains established Data Protection Impact Assessment templates and processes, and accepts responsibility for its sub-processors under its standard Terms and Conditions.</t>
  </si>
  <si>
    <t>PCHG-01</t>
  </si>
  <si>
    <t>Privacy by design is a principle of Preservica's Secure Development Policy, which establishes mandatory standards and controls across requirements specification, system design, development, testing and deployment. System designs are peer-reviewed at regular Technical Review meetings attended by DevOps and Operations personnel, senior engineers and a representative from Information Security, and are assessed against recognised secure design categories at the design stage. Changes to the service are managed under a documented Change Management procedure covering authorisation, testing and approval, with a Change Advisory Board chaired by the Operations Director that meets bi-weekly and approves or denies change requests; the operating effectiveness of these change management controls is tested independently in Preservica's annual SOC 2 Type II audit. Preservica maintains established Data Protection Impact Assessment templates and processes for use where a change warrants assessment. New AI capabilities are released disabled by default and require explicit activation by the institution.</t>
  </si>
  <si>
    <t>PCHG-02</t>
  </si>
  <si>
    <t>Risks, including privacy risks, are managed under Preservica's documented risk management process, which covers all corporate operations including the Preservica service and operates within its certified management systems. Risks are assessed on a likelihood and impact basis; risk tolerances and acceptance criteria are set by the Leadership Team, and risks assessed above tolerance must be terminated, transferred or mitigated rather than accepted. Where a risk cannot be resolved immediately, interim mitigation and compensating controls are applied and recorded, and the residual risk determines the review frequency; every risk is reviewed at least annually and more frequently where residual risk warrants it, with the risk register reviewed monthly by the Chief Information Security Officer. Vulnerabilities are assessed and remediated according to the risk they present, taking into account the vendor's own rating, the applicability and configuration of the affected component in Preservica's environment, and any existing compensating controls. Policies and procedures are reviewed at least annually, on material change in the environment, or following an incident, each with an assigned Owner and Approver.</t>
  </si>
  <si>
    <t>PDAT-01</t>
  </si>
  <si>
    <t>Preservica does not collect demographic information about the institution's users or data subjects. The only personal data Preservica collects in its own right is the limited information required to manage the commercial relationship with the institution, as described in the Privacy Policy. Where an institution chooses to ingest content that contains demographic information, that content is processed by Preservica solely as Processor, on the institution's documented instructions; Preservica does not extract, derive or analyse demographic attributes from it.</t>
  </si>
  <si>
    <t>PDAT-02</t>
  </si>
  <si>
    <t>PDAT-03</t>
  </si>
  <si>
    <t>Preservica does not combine institutional data, whether identifiable, de-identified or anonymised, with personal data from any other source. Content ingested by the institution is processed solely in Preservica's capacity as Processor, on the institution's documented instructions; it is not enriched from external datasets, not used for Preservica's own purposes, not used for product development, and not used to train or fine-tune any AI model.</t>
  </si>
  <si>
    <t>PDAT-04</t>
  </si>
  <si>
    <t>Institutional data is stored and processed only within the geographic region specified in the Data Residency section of the institution's Order Form. This is a contractual and enforceable commitment: data is not moved, replicated or processed outside that region except where the institution explicitly instructs otherwise or where required by applicable law, and sub-processors are approved and used on a region-dependent basis consistent with that commitment. Where remote administrative or support access to an environment is required, it may be performed by authorised Preservica personnel based in the United Kingdom or the United States. Such access is not routine, is granted only through defined and limited paths, and is least-privilege, logged, auditable and subject to management oversight. Standard Contractual Clauses are available to cover any resulting international transfer.</t>
  </si>
  <si>
    <t>PDAT-05</t>
  </si>
  <si>
    <t>IP addresses are processed as an inherent part of delivering an internet-facing service: they are handled at the network and edge-security layer, including by the Web Application Firewall protecting Professional edition and above environments, and are present in the infrastructure logs Preservica collects and monitors for security purposes, which are retained for a minimum of 30 days. MAC addresses and other device hardware identifiers are not captured. Institutions that require access to be restricted by network location can enable IP allow-listing, which limits access to IP addresses the institution provides, together with Preservica's offices and Preservica's infrastructure monitoring platform.</t>
  </si>
  <si>
    <t>PDAT-06</t>
  </si>
  <si>
    <t>Preservica collects aggregated telemetry on use of the service for product enhancement purposes. This telemetry does not contain personally identifiable information, and is collected only where the user has consented through the cookie banner presented on first visit, which offers both accept and reject options; where consent is declined, no telemetry is collected. Content ingested by the institution is never used for this purpose, and is not used to train or fine-tune any AI model. Separately, an institution may choose to implement its own web analytics within its Universal Access site or Portal; where it does so, that tracking is configured and controlled by the institution, and the institution is the controller of any data it collects through it.</t>
  </si>
  <si>
    <t>PDAT-07</t>
  </si>
  <si>
    <t>Preservica staff do not have routine or standing access to institutional data. Access can occur only through the following limited and controlled paths. (1) Customer Support may access an environment only in response to a support ticket raised by the institution and only where the institution has explicitly approved that access on the ticket; access is via a support user created in the tenancy's application directory, which is intentionally visible to the institution for transparency, is removed when the need ends, and can be revoked by the institution at any time. (2) Professional Services engagements of extended duration may require ongoing access, granted by the institution at the start of the engagement and provisioned either in the tenancy's local directory or, where the institution uses single sign-on, by the institution in its own identity provider. (3) Access under a binding order of a competent authority, subject to sign-off by Preservica's Legal team. (4) Access to prevent damage or loss in the event of an imminent security threat, with the approval of the Chief Information Security Officer or Legal. (5) As administrators of the underlying SaaS infrastructure, Preservica's Cloud Operations team hold infrastructure-level privileges that carry administrative capability outside the application layer; all such access is logged to Preservica's security monitoring platform and is subject to need-to-know controls, monitoring and audit. In every case access is least-privilege, logged, auditable and subject to management oversight. Access rights are granted on least-privilege and need-to-know principles, reviewed at least every six months and on role change or termination, and removed when the business need ceases; for systems containing sensitive regulated information, access is terminated immediately on the institution's request. All staff are screened before employment, including identity, right-to-work, reference, credit, sanction and director checks, with annual criminal background checks for staff in Customer Support, Operations, Information Security and Finance. Sub-processor access is limited to AWS or Microsoft Azure as specified in the Order Form, and Cloudflare for Professional edition and above; critical suppliers' independent certifications and attestations are reviewed at least annually.</t>
  </si>
  <si>
    <t>PDAT-08</t>
  </si>
  <si>
    <t>Preservica handles personal data in accordance with applicable data protection law, its published Privacy Policy and GDPR Policy, and the terms of its agreement with the institution, processing content ingested by the institution solely as Processor and on the institution's documented instructions. Responsibilities are divided under Preservica's Shared Responsibility Model, published at https://website-assets.preservica.com/production/resources/Shared-Responsibility-Model-Global-v1.1.pdf: Preservica is responsible for the security of the platform and its infrastructure, encryption of data in transit and at rest, breach notification, and the tools through which the institution manages users, roles and permissions; the institution is responsible for understanding the regulatory and compliance requirements of the data it ingests, ingesting only permitted data, and configuring roles and access controls in line with its own policies. Preservica's controls are independently assured through ISO/IEC 27001:2022 certification and an annual SOC 2 Type II audit.</t>
  </si>
  <si>
    <t>PRPO-01</t>
  </si>
  <si>
    <t>Preservica acts as Processor in respect of all content an institution ingests, processing it only to deliver the contracted service and on the institution's documented instructions. Preservica acts as Controller only for the limited personal data required to manage the commercial relationship with the institution, for personal data processed in the course of security and service monitoring of the platform and any monitoring of Client Data required by law, and for personal data used to monitor, review, improve and develop Preservica's own performance, products and services. Preservica maintains a published Privacy Policy and GDPR Policy, available via the Trust Center at https://preservica.com/trust-center. A Data Protection Officer is appointed, contactable at Privacy@preservica.com. Preservica maintains a Record of Processing Activities covering the processing for which it is Controller, and established Data Protection Impact Assessment templates and processes. Privacy sits within Preservica's wider policy framework, which includes a Privacy and Personally Identifiable Information policy and an Incident Management Policy covering personal data breach handling; every policy has an assigned Owner and Approver and is reviewed at least annually, on material change in the environment, or following an incident. All staff complete mandatory security and privacy awareness training on onboarding and at intervals not exceeding annually.</t>
  </si>
  <si>
    <t>PRPO-02</t>
  </si>
  <si>
    <t>Privacy by design is a principle of Preservica's Secure Development Policy, which sets mandatory standards and controls across requirements specification, system design, development, testing and deployment. In practice this means: the institution determines what content enters the platform, and Preservica neither prescribes nor inspects it; data is encrypted in transit and at rest using AES-256, with key management provided by the hosting cloud service provider and unique keys for customers on dedicated infrastructure; customer content is always stored at rest in customer-specific storage containers, with dedicated processing infrastructure available at Enterprise Plus and above; access control is granular, allowing institutions to define custom roles and to scope permissions for both predefined and custom roles to specific content using Security Tags, so access control follows the institution's own classification scheme; AI capabilities are disabled by default and require explicit activation, with outputs presented for human review; and customer production data is not used in Preservica's development or test environments. System designs are peer-reviewed at regular Technical Review meetings attended by DevOps and Operations personnel, senior engineers and a representative from Information Security.</t>
  </si>
  <si>
    <t>PRPO-03</t>
  </si>
  <si>
    <t>PRPO-04</t>
  </si>
  <si>
    <t>Preservica processes content ingested by the institution as Processor, on the institution's documented instructions, and will give effect to the institution's privacy and data protection requirements through the contract. Preservica will enter into a Data Processing Agreement provided by the institution, subject to legal review and negotiation; agreements based on UK GDPR or EU GDPR Standard Contractual Clauses or similar recognised frameworks are the most straightforward to conclude. Because Preservica does not determine or control the specific categories of personal data an institution chooses to process, completing the sections of a Data Processing Agreement that require exact categories of data, data subjects and processing activities is normally a collaborative exercise between the institution and Preservica. Institution-specific policy requirements that bear on how the service is delivered to that institution are addressed as part of contract negotiation.</t>
  </si>
  <si>
    <t>PRPO-05</t>
  </si>
  <si>
    <t>Preservica operates in the United Kingdom and the United States and complies with applicable law in the jurisdictions in which it operates and contracts. Institutional data is stored and processed only within the geographic region specified in the Data Residency section of the institution's Order Form, as a contractual and enforceable commitment.</t>
  </si>
  <si>
    <t>PRPO-06</t>
  </si>
  <si>
    <t>Preservica operates a documented security and privacy awareness training programme. It applies to all Preservica staff, temporary staff, consultants and third parties with access to Preservica information, customer information, or the facilities, technologies and services used to process that information. Content includes data classification and secure disposal; the secure handling, transmission, storage, retention and disposal of sensitive customer information; recognition and reporting of phishing, social engineering, credential harvesting and business email compromise; password and information handling practice; acceptable use of company resources; and incident and breach reporting procedures. Privileged users and staff with access to customer data receive additional role-specific training on their responsibilities and applicable compliance requirements.</t>
  </si>
  <si>
    <t>PRPO-07</t>
  </si>
  <si>
    <t>Security and privacy awareness training is mandatory. All staff, temporary staff, consultants and in-scope third parties must complete it during onboarding and thereafter at intervals not exceeding annually, with additional ad hoc training following significant security incidents or threats, or material regulatory, policy or technology changes. Content includes data classification and secure disposal, the secure handling, transmission, storage, retention and disposal of sensitive customer information, phishing and social engineering recognition and reporting, acceptable use, and incident and breach reporting procedures. Third parties and consultants are required, through contractual or equivalent means, to have training equal to or greater than that required of Preservica's own staff, and are enrolled in Preservica's own programme where suitable training cannot be verified. All employees must also read and acknowledge core policies on hire and annually thereafter. Non-compliance with policy is subject to sanctions defined in the policy concerned, proportionate to the impact of the breach, up to and including termination.</t>
  </si>
  <si>
    <t>PRPO-08</t>
  </si>
  <si>
    <t>Preservica provides role-aligned AI training covering AI awareness and literacy, responsible use, information security, and data protection obligations, delivered as part of the wider security and compliance training programme. Preservica maintains an AI policy within its information security policy framework. Preservica acts as a Deployer rather than a Provider of AI systems under Regulation (EU) 2024/1689, selecting and integrating models for defined low-risk use cases, applying safeguards, ensuring staff AI literacy, and maintaining human oversight of outputs.</t>
  </si>
  <si>
    <t>PRPO-09</t>
  </si>
  <si>
    <t>Preservica operates no fully automated decision-making processes affecting individuals. Where the platform's optional AI capabilities are enabled, outputs are presented for human review rather than acted upon autonomously, and the institution determines how those outputs are used. Preservica maintains human oversight of AI outputs as a matter of policy, and AI capabilities are restricted to clearly defined use cases.</t>
  </si>
  <si>
    <t>PRPO-10</t>
  </si>
  <si>
    <t>Preservica operates no fully automated decision-making processes affecting individuals, so a management process specific to automated processing does not apply. Where the platform's optional AI capabilities are enabled, outputs are presented for human review rather than acted upon autonomously; AI capabilities are limited to clearly defined use cases, are disabled by default, can be restricted to authorised users, and remain under human oversight. Enquiries and requests relating to personal data may be directed to Privacy@preservica.com.</t>
  </si>
  <si>
    <t>PRPO-11</t>
  </si>
  <si>
    <t>Preservica's position on disclosure to law enforcement and other authorities is set out in its standard Terms and Conditions and supported by internal policy. Preservica does not provide governments or law enforcement with direct or unfettered access to institutional data. Any request must be legally valid and binding, is assessed case by case, and any resulting access requires sign-off by Preservica's Legal team. Disclosures, where required, are limited to the specific data identified in the valid legal order. Where Preservica is served with a court order or legal notification concerning institutional data, Preservica will, to the extent legally permitted, notify the institution and ask it to review the affected data and comply with the order. Where Preservica is not legally permitted to give prior notice, it will, to the extent permitted by law, subsequently inform the institution of the action taken, the reasons, and the details of the order. Where an institution is subject to freedom of information legislation, the institution remains solely responsible for responding to requests relating to its own data; Preservica will assist on the institution's written request, keeps such requests confidential, will not disclose institutional data without the institution's written consent unless required by law, and forwards any request it receives to the institution promptly and within 10 working days where possible.</t>
  </si>
  <si>
    <t>PRPO-12</t>
  </si>
  <si>
    <t>Preservica does not disclose institutional data to law enforcement absent a legally valid and binding order. Preservica does not provide governments or law enforcement with direct or unfettered access to institutional data; each request is assessed case by case, any resulting access to institutional data requires sign-off by Preservica's Legal team, and disclosure is limited to the specific data identified in the order. Where legally permitted, Preservica seeks to notify the affected institution.</t>
  </si>
  <si>
    <t>PRPO-13</t>
  </si>
  <si>
    <t>Where an incident has affected, or is likely to have affected, personal data, Preservica's Data Protection Officer is engaged as part of the incident escalation path and advises on assessment, containment and notification. The Chief Information Security Officer has overall responsibility for incident response. Incidents are classified by severity with defined internal notification and escalation paths, documented with root cause analysis, and reviewed in a lessons-learned exercise within seven days of recovery, with findings from exercises and actual incidents presented to the Leadership Team. The Data Protection Officer is contactable at Privacy@preservica.com.</t>
  </si>
  <si>
    <t>INTL-01</t>
  </si>
  <si>
    <t>Where the institution's Order Form specifies a European Economic Area region, institutional data is collected, processed and stored in that region. Storage and processing take place only within the region specified in the Data Residency section of the Order Form; this is a contractual and enforceable commitment, and data is not moved, replicated or processed outside that region except where the institution explicitly instructs otherwise or where required by applicable law. Sub-processors are approved and used on a region-dependent basis consistent with that commitment. Where remote administrative or support access to an environment is required, it may be performed by authorised Preservica personnel based in the United Kingdom or the United States; such access is not routine, is granted only through defined and limited paths, and is least-privilege, logged and auditable. Standard Contractual Clauses are available to cover any resulting international transfer, including transfers to the United Kingdom or the United States.</t>
  </si>
  <si>
    <t>INTL-02</t>
  </si>
  <si>
    <t>Preservica has appointed a Data Protection Officer, contactable at Privacy@preservica.com. As a matter of company policy the role is identified by function rather than by named individual, giving a stable and continuously monitored point of contact that is unaffected by personnel changes. This is consistent with Article 37(7) of the UK GDPR and EU GDPR, which requires the contact details of the Data Protection Officer to be published and communicated to the supervisory authority, but does not require publication of the individual's name.</t>
  </si>
  <si>
    <t>INTL-03</t>
  </si>
  <si>
    <t>Preservica will enter into GDPR Standard Contractual Clauses and a Data Processing Agreement with the institution, subject to legal review and negotiation. Agreements based on UK GDPR or EU GDPR Standard Contractual Clauses or similar recognised frameworks are the most straightforward to conclude. Preservica must be designated as Processor, with responsibilities aligned to the applicable legislation for that designation. Because Preservica does not determine or control the specific categories of personal data an institution chooses to process, completing the sections that require exact categories of data, data subjects and processing activities is normally a collaborative exercise between the institution and Preservica.</t>
  </si>
  <si>
    <t>INTL-04</t>
  </si>
  <si>
    <t>Institutional data is stored and processed only within the geographic region specified in the Data Residency section of the institution's Order Form, and is not moved, replicated or processed outside that region except where the institution explicitly instructs otherwise or where required by applicable law. Sub-processors are approved and used on a region-dependent basis consistent with that commitment. Where remote administrative or support access is required, it may be performed only by authorised Preservica personnel based in the United Kingdom or the United States. Preservica does not collect, process or store institutional data in China.</t>
  </si>
  <si>
    <t>INTL-05</t>
  </si>
  <si>
    <t>PIPL is not applicable to this engagement. Institutional data is stored and processed only within the geographic region specified in the institution's Order Form, Preservica does not collect, process or store institutional data in China, and access is available only to authorised Preservica personnel based in the United Kingdom or the United States.</t>
  </si>
  <si>
    <t>DRPV-01</t>
  </si>
  <si>
    <t>Preservica maintains established Data Protection Impact Assessment templates and processes, and carries out Data Protection Impact Assessments for the processing for which it is Controller. Preservica acts as Processor in respect of content an institution ingests; under the UK GDPR and EU GDPR the obligation to carry out a Data Protection Impact Assessment for the institution's own processing rests with the institution as Controller. Preservica supports the institution in completing its assessment by supplying the information it needs about the service, its security controls, sub-processors and data residency, and by entering into a Data Processing Agreement. The division of responsibilities is set out in Preservica's Shared Responsibility Model, published at https://website-assets.preservica.com/production/resources/Shared-Responsibility-Model-Global-v1.1.pdf.</t>
  </si>
  <si>
    <t>DRPV-02</t>
  </si>
  <si>
    <t>Preservica publishes a Privacy Policy and a GDPR Policy via the Trust Center at https://preservica.com/trust-center, describing the personal data Preservica processes as Controller, the purposes for which it is collected, used, retained and disclosed, and the rights available to individuals. Those purposes are limited to managing the commercial relationship with the institution, security and service monitoring of the platform and any monitoring required by law, and monitoring, reviewing, improving and developing Preservica's own performance, products and services. In respect of content the institution ingests, Preservica acts as Processor on the institution's documented instructions; the notice provided to the institution's own users and data subjects about that content is the institution's responsibility as Controller.</t>
  </si>
  <si>
    <t>DRPV-03</t>
  </si>
  <si>
    <t>For the processing Preservica carries out as Controller, choices are described in the published Privacy Policy. Service telemetry is collected only where the user has consented through the cookie banner presented on first visit, which offers both accept and reject options; where consent is declined, no telemetry is collected. At the institutional level, AI capabilities are disabled by default and must be explicitly enabled, so no AI processing of institutional content occurs without the institution's decision. In respect of content the institution ingests, the institution determines what is collected and the lawful basis on which it is processed, and is responsible as Controller for describing choices to, and obtaining any necessary consent from, its own data subjects; Preservica processes that content only on the institution's documented instructions.</t>
  </si>
  <si>
    <t>DRPV-04</t>
  </si>
  <si>
    <t>Content ingested into the service is processed solely in Preservica's capacity as Processor, on the institution's documented instructions and only to deliver the contracted service. It is not processed for Preservica's own purposes, is not used for product development, is not used to train or fine-tune any AI model, and is not used in Preservica's development or test environments. Preservica separately collects aggregated telemetry on use of the service for product enhancement; this telemetry contains no personally identifiable information and is collected only with the user's consent through the cookie banner. Preservica also processes the limited personal data required to manage the commercial relationship with the institution, as described in its Privacy Policy.</t>
  </si>
  <si>
    <t>DRPV-05</t>
  </si>
  <si>
    <t>Preservica maintains a Record of Processing Activities covering the processing for which it is Controller, including internal corporate processing and institutional contact data held in its customer relationship management system. In respect of content the institution ingests, Preservica does not prescribe or restrict the data types an institution chooses to store, and does not inspect that content; the institution determines what personal data it ingests and documents it as Controller. Where the institution's optional AI capability for identifying potential personal data is enabled, the platform can flag likely personal data within content for the institution's review, supporting the institution in compiling and maintaining its own record.</t>
  </si>
  <si>
    <t>DRPV-06</t>
  </si>
  <si>
    <t>Retention of content during an active agreement is determined by the institution through its own records management configuration within the platform; Preservica does not impose or alter retention periods for institutional content. Preservica deletes customer data in accordance with its retention determination and policy when it is no longer required. Following termination, the platform supports export of some or all institutional data for up to 30 days, in a common machine-readable format, and Preservica supports the OPEX (Open Preservation Exchange) standard for structured export of preservation content and metadata; extensions to that window can be arranged. Deletion follows the export window, or as otherwise specified in the institution's agreement. Where an entire environment or tenancy is deleted at the end of an agreement, Preservica can provide an Attestation of Deletion on request: a formal letter identifying the services, URLs, tenancy identifiers and cloud service providers in scope, confirming that data has been securely and permanently deleted from Preservica's application databases and storage systems. Logical deletion is performed by Preservica; physical destruction of the underlying storage media is the responsibility of the cloud service provider, and Preservica relies on those providers' independently audited certifications and attestations. Preservica's own information assets are governed by its asset management procedure, under which equipment is reset and user data securely wiped before reuse or disposal.</t>
  </si>
  <si>
    <t>DRPV-07</t>
  </si>
  <si>
    <t>Individuals may exercise their rights in respect of the personal data Preservica processes as Controller by contacting Privacy@preservica.com. In respect of content an institution ingests, Preservica acts as Processor: the institution is the Controller and holds the relationship with its data subjects, so requests for access, review, correction or erasure are received and determined by the institution. The platform provides the tooling for the institution to respond: search and retrieval across content and metadata, the ability for authorised users to update and correct content and metadata including bulk metadata updates, role-based access control with permissions scoped to specific content, and export in a common machine-readable format. Where an institution has enabled the optional capability for identifying potential personal data within content, that capability can assist in locating relevant material. Preservica will assist the institution with a request on its written request, in accordance with the Data Processing Agreement between the parties.</t>
  </si>
  <si>
    <t>DRPV-08</t>
  </si>
  <si>
    <t>Preservica does not disclose institutional data to third parties for any purpose other than delivering the contracted service. Preservica's sub-processors are AWS or Microsoft Azure, as specified in the institution's Order Form, together with Cloudflare for Professional edition and above; Preservica accepts responsibility for its sub-processors under its standard Terms and Conditions, and sub-processors are approved and used on a region-dependent basis consistent with the institution's contracted data residency. Critical suppliers' independent certifications and attestations are reviewed at least annually. Institutional data is not sold, is not shared with advertising networks or data brokers, is not used for marketing or profiling, and is not used to train or fine-tune any AI model. Where an institution enables the optional image description capability, content is processed by the enterprise AI services of the same cloud provider that already hosts the institution's environment, on an inference-only, stateless basis, with no retention of inputs or outputs by the model for training. The only other circumstance in which institutional data may be disclosed is under a legally valid and binding order, assessed case by case, limited to the specific data identified in the order, requiring sign-off by Preservica's Legal team, and with notification to the institution where legally permitted.</t>
  </si>
  <si>
    <t>DRPV-09</t>
  </si>
  <si>
    <t>Logical protection: data is encrypted in transit and at rest, using AES-256 at rest with key management provided by the hosting cloud service provider; institutions on dedicated infrastructure have unique encryption keys that are not shared. Institutional content is always stored at rest in customer-specific storage containers so it cannot be reached by other customers, and dedicated processing infrastructure is available at Enterprise Plus and above. Access within the platform is controlled through role-based access control with predefined and custom roles whose permissions can be scoped to specific content, and institutions may restrict access by network location using IP allow-listing. A Web Application Firewall protects Professional edition and above environments. The platform captures audit logs of activity within the institution's tenancy, including login and logout events and user activity records, which are protected against modification and can be retrieved through the platform's APIs for ingestion into the institution's own security monitoring platform. Preservica staff have no routine or standing access to institutional data; where access is required it occurs only through defined, limited paths, is least-privilege, logged and auditable, and access rights are reviewed at least every six months and removed when the business need ceases. Physical protection: Preservica does not operate its own data centres. Institutional data resides exclusively in AWS or Microsoft Azure infrastructure, where physical security is the provider's responsibility under their own independently audited certifications and attestations, which Preservica reviews at least annually. Preservica applies its own physical security controls at its corporate offices, including defined security perimeters, controlled entry, monitoring for unauthorised access, and escorted visitors; removable storage media is not authorised for use. Preservica's controls are independently assured through ISO/IEC 27001:2022 certification and an annual SOC 2 Type II audit.</t>
  </si>
  <si>
    <t>DRPV-10</t>
  </si>
  <si>
    <t>For the personal data Preservica processes as Controller, records are maintained and kept up to date for the purposes described in its Privacy Policy, and individuals may seek correction by contacting Privacy@preservica.com. In respect of content an institution ingests, accuracy, completeness and relevance are determined by the institution as Controller; Preservica stores content as ingested and does not alter it. The platform supports the institution in maintaining accuracy: authorised users can update and correct content and metadata, including applying updates across a set of search results, and can apply custom metadata schemas. Preservica assures the integrity of stored content through application-level fixity checking: at ingest the platform either generates a checksum for each file or validates a checksum supplied by the institution, with a mismatch on a supplied checksum failing the ingest at that point; the platform then periodically re-computes the checksum of every stored file against the value on record, and discrepancies are alerted to Preservica's Operations team and, optionally, to the institution. Supported algorithms, configurable by the institution, are MD5, SHA-1, SHA-256 and SHA-512.</t>
  </si>
  <si>
    <t>DRPV-11</t>
  </si>
  <si>
    <t>Privacy enquiries, concerns and complaints may be raised at Privacy@preservica.com, a dedicated and continuously monitored mailbox, and are handled by Preservica's Data Protection Officer. Where a complaint or concern indicates that personal data may have been affected, it is handled under Preservica's Incident Management Policy, which is supported by a Cyber Incident Response Plan with scenario-specific playbooks and a Crisis Management Communications Plan; the Data Protection Officer is engaged in the escalation path and advises on assessment, containment and notification. Incidents are classified by severity with defined escalation paths, documented with root cause analysis, and reviewed in a lessons-learned exercise within seven days of recovery, with findings presented to the Leadership Team. The Chief Information Security Officer has overall responsibility for incident response, with ultimate accountability resting with the Chief Executive Officer and the Board. Institutions may also raise matters through their contractual audit and assurance rights, and compliance documentation is published via the Trust Center at https://preservica.com/trust-center.</t>
  </si>
  <si>
    <t>DRPV-12</t>
  </si>
  <si>
    <t>Preservica does not anonymise, de-identify or mask the content an institution ingests. Content is stored as the institution provides it, and Preservica does not prescribe, inspect or transform it; decisions about redaction, de-identification or removal rest with the institution as Controller. Preservica does provide two related capabilities. First, an optional AI capability can identify potential personal data within content and flag it for the institution's review, so that the institution can decide what action to take; the capability identifies rather than removes or masks, is disabled by default, and outputs are presented for human review. Second, Preservica's own aggregated service telemetry contains no personally identifiable information. Institutional production data is not used in Preservica's development or test environments, so no masked or de-identified copy of institutional content is created for that purpose.</t>
  </si>
  <si>
    <t>DRPV-13</t>
  </si>
  <si>
    <t>Neither Preservica nor its sub-processors use or disclose institutional data, in identifiable, de-identified or anonymised form, for any purpose other than delivering the contracted service. It is not sold or shared with advertising networks or data brokers, is not used for marketing, is not used to create profiles, is not used for analytics unrelated to the services provided to the institution, and is not used to train or fine-tune any AI model. Separately from institutional content, Preservica collects aggregated telemetry on use of its own service for product enhancement purposes; this telemetry contains no personally identifiable information and is collected only where the user has consented through the cookie banner presented on first visit, which offers both accept and reject options.</t>
  </si>
  <si>
    <t>DRPV-14</t>
  </si>
  <si>
    <t>Preservica acts as Processor in respect of content an institution ingests and processes it only on the institution's documented instructions, which includes an instruction to cease processing. Preservica's sub-processors are AWS or Microsoft Azure, as specified in the institution's Order Form, together with Cloudflare for Professional edition and above; Preservica accepts responsibility for its sub-processors under its standard Terms and Conditions, so an instruction to cease processing extends to processing carried out by a sub-processor on Preservica's behalf. Where an instruction results in deletion of an entire environment or tenancy, Preservica can provide an Attestation of Deletion: a formal letter identifying the services, URLs, tenancy identifiers and cloud service providers in scope, confirming that data has been securely and permanently deleted from Preservica's application databases and storage systems. Logical deletion is performed by Preservica; physical destruction of the underlying storage media is the responsibility of the cloud service provider, and Preservica relies on those providers' independently audited certifications and attestations. Deletion and cessation obligations for a specific engagement are as set out in the Data Processing Agreement between the parties.</t>
  </si>
  <si>
    <t>DRPV-15</t>
  </si>
  <si>
    <t>Preservica maintains a Secure Development Policy establishing mandatory standards and controls across requirements specification, system design, development, testing and deployment, with privacy by design among its principles. System designs are peer-reviewed at regular Technical Review meetings attended by DevOps and Operations personnel, senior engineers and a representative from Information Security, and source code changes require second-person review and approval before acceptance. Preservica maintains an AI policy within its information security policy framework, and acts as a Deployer rather than a Provider of AI systems under Regulation (EU) 2024/1689: capabilities are selected and integrated for defined low-risk use cases, safeguards are applied, staff AI literacy is maintained, and human oversight of outputs is retained. AI capabilities are disabled by default, require explicit activation by the institution, can be restricted to authorised users, and produce outputs that are presented for human review rather than acted upon autonomously. Staff receive role-aligned training covering AI awareness and literacy, responsible use, information security and data protection obligations.</t>
  </si>
  <si>
    <t>DPAI-01</t>
  </si>
  <si>
    <t>DPAI-02</t>
  </si>
  <si>
    <t>No institutional data is retained by the AI models or services that process it. For optical character recognition, identification of potential personal data, and audio and video transcription, processing takes place entirely within the Preservica SaaS boundary using open-source models operated by Preservica, so no data leaves the institution's environment. For image description, processing is performed by the enterprise AI services of the same cloud provider that hosts the institution's environment, under inference-only, stateless terms; inputs and outputs are not retained by the model and are not used for training. Institutional data is not used to train or fine-tune any AI model. Outputs generated by AI processing, such as extracted text, transcripts, image descriptions and flags for potential personal data, are written back into the institution's own tenancy as content or metadata, where they remain under the institution's control and within the contracted data residency region.</t>
  </si>
  <si>
    <t>DPAI-03</t>
  </si>
  <si>
    <t>Preservica's sub-processors are AWS or Microsoft Azure, as specified in the institution's Order Form, together with Cloudflare for Professional edition and above; Preservica accepts responsibility for its sub-processors under its standard Terms and Conditions. Where the optional image description capability is enabled, the AI services used are those of the same cloud provider already hosting the institution's environment, engaged under inference-only, no-training, stateless-processing terms, and used consistently with the institution's contracted data residency. Those providers' certifications, including ISO/IEC 27001 and SOC reports, are reviewed by Preservica at least annually under its Critical Supplier Review process. All other AI capabilities run on models operated by Preservica within its own SaaS boundary, so no third-party AI service is involved.</t>
  </si>
  <si>
    <t>DPAI-04</t>
  </si>
  <si>
    <t>This applies only where the institution enables the optional image description capability. In that case, content is processed by the enterprise AI services of the same cloud provider that already hosts the institution's environment — AWS or Microsoft Azure as specified in the Order Form — engaged under inference-only, no-training, stateless-processing terms, consistent with the institution's contracted data residency region. No new sub-processor is introduced. Inputs and outputs are not retained by the model and are not used for training. All other AI capabilities, including optical character recognition, identification of potential personal data, and audio and video transcription, run on open-source models operated by Preservica entirely within the Preservica SaaS boundary, with no third-party AI service involved. All AI capabilities are disabled by default and require explicit activation by the institution.</t>
  </si>
  <si>
    <t>DPAI-05</t>
  </si>
  <si>
    <t>AI processing is not limited to commercially licensed AI services, and deliberately so. Optical character recognition, identification of potential personal data, and audio and video transcription are performed using established open-source models that Preservica operates itself, entirely within the Preservica SaaS boundary; because no third-party AI service is involved, institutional data does not leave the environment for those capabilities. The models are used for inference only, exactly as published by their originators; Preservica does not supplement or alter their training data, and institutional data is never used to train or fine-tune them. Image description is the one capability that uses an external service, and it uses the enterprise AI services of the same cloud provider that already hosts the institution's environment, under inference-only, no-training, stateless-processing terms. All AI capabilities are disabled by default and require explicit activation by the institution.</t>
  </si>
  <si>
    <t>DPAI-06</t>
  </si>
  <si>
    <t>Institutional data is not processed by consumer, public or general-purpose shared AI services. Optical character recognition, identification of potential personal data, and audio and video transcription run on models Preservica operates within its own SaaS boundary. Where the institution enables image description, processing is performed by the enterprise AI services of the same cloud provider that already hosts the institution's environment, under inference-only, no-training, stateless-processing terms. In all cases AI processing is logically isolated per institution with no cross-tenant access, data is encrypted in transit and at rest, inputs and outputs are not retained by the model, and institutional data is never used to train or fine-tune any model. The cloud provider's AI services are additionally covered by that provider's own certifications, including ISO/IEC 27001 and SOC reports.</t>
  </si>
  <si>
    <t>DPAI-07</t>
  </si>
  <si>
    <t>Several controls apply. AI capabilities are disabled by default and must be explicitly activated by the institution, so no AI processing occurs without a deliberate decision. Access to AI capabilities can be restricted to specific users through administrative control and role-based access, so use can be confined to authorised staff and defined use cases. Capabilities are limited to clearly defined archival use cases rather than open-ended prompting, which materially constrains prompt injection and similar AI-specific risks, and configuration controls and human oversight of outputs are retained throughout. AI processing is logically isolated per institution with no cross-tenant access, and data is encrypted in transit and at rest. Standard operational logging and monitoring apply to AI processing, consistent with the platform's wider security practices. Preservica acts as a Deployer rather than a Provider of AI systems under Regulation (EU) 2024/1689, applying safeguards, maintaining staff AI literacy, and retaining human oversight.</t>
  </si>
  <si>
    <t>DPAI-08</t>
  </si>
  <si>
    <t>AI use is opt-in rather than opt-out. All AI capabilities are disabled by default and no AI processing takes place unless the institution explicitly enables it, so no opt-out is required. Where an institution does enable a capability, access to it can be restricted to specific authorised users through administrative control and role-based access, and outputs are presented for human review rather than acted upon autonomously.</t>
  </si>
  <si>
    <t xml:space="preserve">There are cells within this worksheet are auto populated from the previous worksheets and drop down lists. </t>
  </si>
  <si>
    <t>HECVAT™ Institution Evaluation</t>
  </si>
  <si>
    <t>Instructions for Analysts</t>
  </si>
  <si>
    <t>Date Prepared</t>
  </si>
  <si>
    <t>Cells A20 to A40 have intentionally been left blank.</t>
  </si>
  <si>
    <t>Report Sections</t>
  </si>
  <si>
    <t>Include in Score?</t>
  </si>
  <si>
    <t>Max Score</t>
  </si>
  <si>
    <t>Score</t>
  </si>
  <si>
    <t>Score %</t>
  </si>
  <si>
    <t>Jump to</t>
  </si>
  <si>
    <t>COMP</t>
  </si>
  <si>
    <t>DOCU</t>
  </si>
  <si>
    <t>THRD</t>
  </si>
  <si>
    <t>CHNG</t>
  </si>
  <si>
    <t>PPPR</t>
  </si>
  <si>
    <t>AAAI</t>
  </si>
  <si>
    <t>DATA</t>
  </si>
  <si>
    <t>APPL</t>
  </si>
  <si>
    <t>DCTR</t>
  </si>
  <si>
    <t>FIDP</t>
  </si>
  <si>
    <t>HFIH</t>
  </si>
  <si>
    <t>VULN</t>
  </si>
  <si>
    <t>CONS</t>
  </si>
  <si>
    <t>HIPA</t>
  </si>
  <si>
    <t>PCID</t>
  </si>
  <si>
    <t>OPEM</t>
  </si>
  <si>
    <t>ITAC</t>
  </si>
  <si>
    <r>
      <t xml:space="preserve">AI </t>
    </r>
    <r>
      <rPr>
        <i/>
        <sz val="11"/>
        <color rgb="FF000000"/>
        <rFont val="Verdana"/>
        <family val="2"/>
      </rPr>
      <t>(aggregated)</t>
    </r>
  </si>
  <si>
    <r>
      <t xml:space="preserve">Privacy </t>
    </r>
    <r>
      <rPr>
        <i/>
        <sz val="11"/>
        <color rgb="FF000000"/>
        <rFont val="Verdana"/>
        <family val="2"/>
      </rPr>
      <t>(aggregated)</t>
    </r>
  </si>
  <si>
    <t>Overall Score</t>
  </si>
  <si>
    <t xml:space="preserve"> </t>
  </si>
  <si>
    <t>HECVAT Analyst Report</t>
  </si>
  <si>
    <t>Institution Assessment</t>
  </si>
  <si>
    <t>Analysts: Use columns G and I to override the response compliance and importance level.</t>
  </si>
  <si>
    <t>ID</t>
  </si>
  <si>
    <t>Question</t>
  </si>
  <si>
    <t>(Will reflect across applicable tabs)</t>
  </si>
  <si>
    <t>Compliant Response</t>
  </si>
  <si>
    <t>Compliant Override</t>
  </si>
  <si>
    <t>Default Importance</t>
  </si>
  <si>
    <t>Importance Override</t>
  </si>
  <si>
    <t>Non-Negotiable?</t>
  </si>
  <si>
    <t>Back to Scorecard</t>
  </si>
  <si>
    <t xml:space="preserve">There are cells within this worksheet are auto populated from multiple worksheets in the workbook, and drop down lists. </t>
  </si>
  <si>
    <t>HECVAT Institution Evaluation - High Risk</t>
  </si>
  <si>
    <t>Instructions for High-Risk Scorecard</t>
  </si>
  <si>
    <t xml:space="preserve">4. For instructions on how to do a "HECVAT Lite" evaluation, please visit educause.edu/HECVAT. </t>
  </si>
  <si>
    <t xml:space="preserve">There are cells within this worksheet are auto populated from the HECVAT - Full | Vendor Response worksheet and drop down lists. </t>
  </si>
  <si>
    <t>Question Count</t>
  </si>
  <si>
    <t>Non-Negotiable</t>
  </si>
  <si>
    <t>Critical Importance/Lite Score</t>
  </si>
  <si>
    <t>Critical Importance Questions (Lite Review Questions)</t>
  </si>
  <si>
    <t>Non-Negotiable Questions</t>
  </si>
  <si>
    <t>Code</t>
  </si>
  <si>
    <t>HECVAT Institution Evaluation - Privacy</t>
  </si>
  <si>
    <t>PRGN</t>
  </si>
  <si>
    <t>PCOM</t>
  </si>
  <si>
    <t>PDOC</t>
  </si>
  <si>
    <t>PTHP</t>
  </si>
  <si>
    <t>PCHG</t>
  </si>
  <si>
    <t>PDAT</t>
  </si>
  <si>
    <t>PRPO</t>
  </si>
  <si>
    <t>INTL</t>
  </si>
  <si>
    <t>DRPV</t>
  </si>
  <si>
    <t>DPAI</t>
  </si>
  <si>
    <t>Privacy Score</t>
  </si>
  <si>
    <t>HECVAT Analyst Report - Privacy</t>
  </si>
  <si>
    <t>Vendor Answer</t>
  </si>
  <si>
    <r>
      <t xml:space="preserve">PRIVACY REFERENCE QUESTIONS </t>
    </r>
    <r>
      <rPr>
        <b/>
        <i/>
        <sz val="14"/>
        <color theme="0"/>
        <rFont val="Verdana"/>
        <family val="2"/>
      </rPr>
      <t>-these fields cannot be edited and must be changed on the "Institution Evaluation" tab.</t>
    </r>
  </si>
  <si>
    <t xml:space="preserve">The cells within this worksheet contain questions, the reason for the question, and follow-up inquiries/responses </t>
  </si>
  <si>
    <t>HECVAT Analyst Reference</t>
  </si>
  <si>
    <r>
      <t>Connect</t>
    </r>
    <r>
      <rPr>
        <u/>
        <sz val="12"/>
        <color theme="10"/>
        <rFont val="Verdana"/>
        <family val="2"/>
      </rPr>
      <t xml:space="preserve"> with your higher education peers by joining the EDUCAUSE HECVAT Users Community Group</t>
    </r>
  </si>
  <si>
    <t>You can find full tutorials on the HECVAT at educause.edu/HECVAT</t>
  </si>
  <si>
    <t>This sheet provides additional context on each questions for analysts at institutions. In most cases, you will find a reason for each question as well as follow-up inquiries that may be helpful.</t>
  </si>
  <si>
    <t xml:space="preserve">Use the "find" feature (CTRL+F on a PC or Command+F on a Mac) to search for a question code </t>
  </si>
  <si>
    <t xml:space="preserve">End Table Data </t>
  </si>
  <si>
    <t xml:space="preserve">Required Questions indicate to the solution provider which questions apply to their product or service. </t>
  </si>
  <si>
    <t>The answer to this question indicates if the "Product" and "Infrastructure" tabs are required</t>
  </si>
  <si>
    <t>The answer to this question indicates if the "IT Accessibility" questions are required</t>
  </si>
  <si>
    <t>The answer to this question indicates if the "Consulting" questions are required</t>
  </si>
  <si>
    <t>The answer to this question indicates if the "AI" questions are required</t>
  </si>
  <si>
    <t>The answer to this question indicates if the "HIPAA" questions are required</t>
  </si>
  <si>
    <t>The answer to this question indicates if the "PCI DSS" questions are required</t>
  </si>
  <si>
    <t>The answer to this question indicates if the "On-Premises Data Solutions" questions are required</t>
  </si>
  <si>
    <t xml:space="preserve">This worksheet is a combination of cells that are autopopulated as well as ones to be filled in. </t>
  </si>
  <si>
    <t>New ID</t>
  </si>
  <si>
    <t>Start</t>
  </si>
  <si>
    <t>Org</t>
  </si>
  <si>
    <t>Product</t>
  </si>
  <si>
    <t>Infra</t>
  </si>
  <si>
    <t>Access</t>
  </si>
  <si>
    <t>Case</t>
  </si>
  <si>
    <t>AI</t>
  </si>
  <si>
    <t>Privacy</t>
  </si>
  <si>
    <t>Score Mapping</t>
  </si>
  <si>
    <t>Score Location</t>
  </si>
  <si>
    <t>Additional Info</t>
  </si>
  <si>
    <t>If/then</t>
  </si>
  <si>
    <t>Standard Guidance</t>
  </si>
  <si>
    <t>No Guidance</t>
  </si>
  <si>
    <t>Yes Guidance</t>
  </si>
  <si>
    <t>N/A Guidance</t>
  </si>
  <si>
    <t>Reason for Question</t>
  </si>
  <si>
    <t>Follow-Up Inquiries/Responses</t>
  </si>
  <si>
    <t>Compliant</t>
  </si>
  <si>
    <t>Default Weight</t>
  </si>
  <si>
    <t>Solution Provider Name</t>
  </si>
  <si>
    <t>NA</t>
  </si>
  <si>
    <t>Not Scored</t>
  </si>
  <si>
    <t/>
  </si>
  <si>
    <t>Not scored</t>
  </si>
  <si>
    <t>Solution Name</t>
  </si>
  <si>
    <t>0</t>
  </si>
  <si>
    <t>Solution Description</t>
  </si>
  <si>
    <t>Solution Provider Contact Name</t>
  </si>
  <si>
    <t>Solution Provider Contact Title</t>
  </si>
  <si>
    <t>Solution Provider Contact Email</t>
  </si>
  <si>
    <t>Solution Provider Contact Phone Number</t>
  </si>
  <si>
    <t>Country of Company Headquarters</t>
  </si>
  <si>
    <t>Employee Work Locations (all)</t>
  </si>
  <si>
    <t>Determines where solution provider employees will be physically located.</t>
  </si>
  <si>
    <t>Follow-up inquiries will be institution/implementation specific.</t>
  </si>
  <si>
    <t>Do you have a dedicated software and system development team(s) (e.g., customer support, implementation, product management, etc.)?*</t>
  </si>
  <si>
    <t>Start Here</t>
  </si>
  <si>
    <t>Describe any plans to create a dedicated software and system development team.</t>
  </si>
  <si>
    <t>Describe the structure and size of your software and system development teams. (e.g., customer support, implementation, product management, etc.).</t>
  </si>
  <si>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</si>
  <si>
    <t>Follow-up inquiries for solution provider team strategies will be unique to your institution and may depend on the underlying infrastructures needed to support a system for your specific use case.</t>
  </si>
  <si>
    <t>Standard Importance</t>
  </si>
  <si>
    <t>Describe your organization’s business background and ownership structure, including all parent and subsidiary relationships.</t>
  </si>
  <si>
    <t>Include circumstances that may involve offshoring or multinational agreements.</t>
  </si>
  <si>
    <t>This information defines the scale of company (support, resources, skillsets), general information about the organization that may be concerning.</t>
  </si>
  <si>
    <t>Follow-up responses to this one are normally unique to their response. Vague answers here usually result in some footprinting of a solution provider to determine their "reputation."</t>
  </si>
  <si>
    <t>Have you operated without unplanned disruptions to this solution in the past 12 months?</t>
  </si>
  <si>
    <t>Provide a detailed summary of the unplanned disruption.</t>
  </si>
  <si>
    <t>We want transparency from the solution provider, and an honest answer to this question, regardless of the response, is a good step in building trust.</t>
  </si>
  <si>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</si>
  <si>
    <t>Minor Importance</t>
  </si>
  <si>
    <t>Do you have a dedicated information security staff or office?</t>
  </si>
  <si>
    <t>Describe any plans to create an information security office for your organization.</t>
  </si>
  <si>
    <t>Describe your information security office, including size, talents, resources, etc.</t>
  </si>
  <si>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</si>
  <si>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</si>
  <si>
    <t>Use this area to share information about your environment that will assist those who are assessing your company's data security program.</t>
  </si>
  <si>
    <t>Share any details that would help information security analysts assess your solution.</t>
  </si>
  <si>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</si>
  <si>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solution provider state their case. If a solution provider does not add anything here (or it is just sales stuff), we can assume it was filled out by a sales engineer and questions will be evaluated with higher scrutiny.</t>
  </si>
  <si>
    <t>Are you offering a cloud-based product?</t>
  </si>
  <si>
    <t>If you are only offering a service, or are offering a product that is not cloud-based, answer "no".</t>
  </si>
  <si>
    <t>DO NOT complete the Product and Infrastructure worksheets</t>
  </si>
  <si>
    <t>DO complete the Product and Infrastructure worksheets</t>
  </si>
  <si>
    <t>Does your product or service have an interface?</t>
  </si>
  <si>
    <t>This includes any interface for end users and interfaces used by administrators at the institution.</t>
  </si>
  <si>
    <t>DO NOT complete the IT Accessibility worksheet.</t>
  </si>
  <si>
    <t>DO complete the IT Accessibility worksheet.</t>
  </si>
  <si>
    <t>Are you providing consulting services?</t>
  </si>
  <si>
    <t>DO NOT complete the Consulting section in the Case-Specific worksheet</t>
  </si>
  <si>
    <t>DO complete the Consulting section in the Case-Specific worksheet</t>
  </si>
  <si>
    <t>Does your solution have AI features, or are there plans to implement AI features in the next 12 months?</t>
  </si>
  <si>
    <t>DO NOT complete the Artificial Intelligence (AI) worksheet</t>
  </si>
  <si>
    <t>DO complete the Artificial Intelligence (AI) worksheet</t>
  </si>
  <si>
    <t>Does your solution process protected health information (PHI) or any data covered by the Health Insurance Portability and Accountability Act (HIPAA)?</t>
  </si>
  <si>
    <t>Answer "yes" if your solution handles personal health information (PHI), either directly or via a third party.</t>
  </si>
  <si>
    <t>DO NOT complete the HIPAA section in the Case-Specific worksheet</t>
  </si>
  <si>
    <t>DO complete the HIPAA section in the Case-Specific worksheet</t>
  </si>
  <si>
    <t>Is the solution designed to process, store, or transmit credit card information?</t>
  </si>
  <si>
    <t>Answer yes if your solution handles PCI (credit card) information, either directly or via a third party.</t>
  </si>
  <si>
    <t>DO NOT complete the PCI-DSS section in the Case-Specific worksheet</t>
  </si>
  <si>
    <t>DO complete the PCI-DSS section in the Case-Specific worksheet</t>
  </si>
  <si>
    <t>Does operating your solution require the institution to operate a physical or virtual appliance in their own environment or to provide inbound firewall exceptions to allow your employees to remotely administer systems in the institution's environment?</t>
  </si>
  <si>
    <t>DO NOT complete the On-Prem section in the Case-Specific worksheet</t>
  </si>
  <si>
    <t>DO complete the On-Prem section in the Case-Specific worksheet</t>
  </si>
  <si>
    <t>Does your solution have access to personal or institutional data?</t>
  </si>
  <si>
    <t>This includes patient data, student data, employment data, human research data, financial data, etc.</t>
  </si>
  <si>
    <t>DO NOT complete the Privacy tab</t>
  </si>
  <si>
    <t>DO complete the Privacy tab</t>
  </si>
  <si>
    <r>
      <t>Do you have a well-documented business continuity plan (BCP), with a clear owner, that is tested annually?</t>
    </r>
    <r>
      <rPr>
        <sz val="11"/>
        <color rgb="FFFF0000"/>
        <rFont val="Arial"/>
        <family val="2"/>
      </rPr>
      <t>*</t>
    </r>
  </si>
  <si>
    <t>Organization</t>
  </si>
  <si>
    <t>Testing a business continuity plan is an important action that improves the efficiency and accuracy of a solution provider's continuity plans. Vague responses to this question should be met with concern and appropriate follow-up, based on your institutions risk tolerance.</t>
  </si>
  <si>
    <t>Critical Importance</t>
  </si>
  <si>
    <t>Do you have a well-documented disaster recovery plan (DRP), with a clear owner, that is tested annually?*</t>
  </si>
  <si>
    <t>Testing a disaster recovery plan is an important action that improves the efficiency and accuracy of a solution provider's recovery plans. Vague responses to this question should be met with concern and appropriate follow-up, based on your institutions risk tolerance.</t>
  </si>
  <si>
    <t>Have you undergone a SSAE 18/SOC 2 audit?</t>
  </si>
  <si>
    <t>Describe any plans to undergo a SSAE 18 audit.</t>
  </si>
  <si>
    <t>Provide the date of assessment and include a SOC 2 Type 2 (preferred) or SOC 3 report. If you have a SOC 3 report, state how to obtain a copy. Indicate if your hosting provider was the subject of the audit.</t>
  </si>
  <si>
    <t>SSAE 18 and SOC2 audits are standard documentation, relevant to institutions requiring a solution provider to undergo SSAE 18 audits.</t>
  </si>
  <si>
    <t>Follow-up inquiries for SSAE 18 content will be institution/implementation specific.</t>
  </si>
  <si>
    <t>Do you conform with a specific industry standard security framework (e.g., NIST Cybersecurity Framework, CIS Controls, ISO 27001, etc.)?</t>
  </si>
  <si>
    <t>Describe any plans to conform to an industry standard security framework.</t>
  </si>
  <si>
    <t>Provide documentation on how your organization conforms to your chosen framework and indicate current certification levels, where appropriate.</t>
  </si>
  <si>
    <t>The details of the standard are not the focus here; it is the fact that a solution provider builds their environment around a standard and that they continually evaluate and assess their security programs.</t>
  </si>
  <si>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</si>
  <si>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</si>
  <si>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</si>
  <si>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</si>
  <si>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</si>
  <si>
    <t>Inquire about any privacy language the solution provider may have. It may not be ideal but there may be something available to assess or enough to have your legal counsel or policy/privacy professionals review.</t>
  </si>
  <si>
    <t>Does your organization have a data privacy policy?</t>
  </si>
  <si>
    <t>Describe your plans to create a data privacy policy.</t>
  </si>
  <si>
    <t>Provide your data privacy document (or a valid link to it) upon submission.</t>
  </si>
  <si>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</si>
  <si>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</si>
  <si>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</si>
  <si>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 populated HECVAT.</t>
  </si>
  <si>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</si>
  <si>
    <t>Unsatisfactory answers should be met with questions about access control authority, roles and responsibilities (of access grantors), administrative privileges within the solution provider's infrastructure(s), etc.</t>
  </si>
  <si>
    <t>Solution Provider Accessibility Contact Name</t>
  </si>
  <si>
    <t>If REQU-02 is no, populate solution provider answer with cell b3 in Auto Responses worksheet</t>
  </si>
  <si>
    <t>Solution Provider Accessibility Contact Title</t>
  </si>
  <si>
    <t>Solution Provider Accessibility Contact Email</t>
  </si>
  <si>
    <t>Solution Provider Accessibility Contact Phone Number</t>
  </si>
  <si>
    <t>Web Link to Accessibility Statement or VPAT</t>
  </si>
  <si>
    <t>VPAT can also be added as an attachment</t>
  </si>
  <si>
    <t>Has a VPAT or ACR been created or updated for the solution and version under consideration within the past 12 months?*</t>
  </si>
  <si>
    <t>IT Accessibility</t>
  </si>
  <si>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</si>
  <si>
    <t>Please state your plans (when and by whom) to complete a VPAT.</t>
  </si>
  <si>
    <t>State the date the VPAT was completed. Include this VPAT in your submission and/or link to its web location.</t>
  </si>
  <si>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</si>
  <si>
    <t>Cross-reference Accessibility Conformance Reports (ACR) with any answers from ITAC-14 about product roadmaps for accessibility improvements.</t>
  </si>
  <si>
    <t>Will your company agree to meet your stated accessibility standard or WCAG 2.1 AA as part of your contractual agreement for the solution?*</t>
  </si>
  <si>
    <t xml:space="preserve">Federal regulation requires that technology products conform to WCAG 2.1 AA. Technology platforms that do not substantially conform to this standard put schools at risk of not complying with these requirements. </t>
  </si>
  <si>
    <t>Does the solution substantially conform to WCAG 2.1 AA?*</t>
  </si>
  <si>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</si>
  <si>
    <t>Do you have a documented and implemented process for reporting and tracking accessibility issues?*</t>
  </si>
  <si>
    <t xml:space="preserve">Reporting and fixing accessibility issues is critical to a mature process. If the process for this question is merely a "feature request" and tracker, the answer to this question should be "no." </t>
  </si>
  <si>
    <t>State how users should report accessibility issues. Describe any expected related process updates.</t>
  </si>
  <si>
    <t>Describe the process and any recent examples of fixes as a result of the process.</t>
  </si>
  <si>
    <t>What is the prioritization of accessibility issues received, and how are they tracked? Is there a regular cadence for tracking and addressing accessibility barriers?</t>
  </si>
  <si>
    <t>Do you have documentation to support the accessibility features of your solution?</t>
  </si>
  <si>
    <t>If specific configurations, settings, themes, author guides, or instructions are needed to ensure accessibility, are instructions on how to do so provided for administrators and end users?</t>
  </si>
  <si>
    <t>Provide plans for any documentation that would make accessible content, features, and functions easily knowable by end users.</t>
  </si>
  <si>
    <t>Provide examples with links where possible.</t>
  </si>
  <si>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</si>
  <si>
    <t>If claims are made about accessibility and there is no supporting documentation on how they can be achieved, ensure that intended configurations and uses of the product in question were assessed for any accessibility documentation or claims.</t>
  </si>
  <si>
    <t>Has a third-party expert conducted an audit of the most recent version of your solution?</t>
  </si>
  <si>
    <t>Audit results, including VPAT/ACRs, are voluntary reports often generated by the creator of the product. Audits conducted and reports generated by expert third parties give greater confidence to customers.</t>
  </si>
  <si>
    <t>Please provide plans (when and by whom) of any planned audit, or a rationale if no third-party audit is planned.</t>
  </si>
  <si>
    <t>State when the audit was conducted and by whom. Include the results in your submission and/or link to its web location.</t>
  </si>
  <si>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</si>
  <si>
    <t>Do you have a documented and implemented process for verifying accessibility conformance?</t>
  </si>
  <si>
    <t>Summarize how you ensure accessible solutions. Provide plans to develop documented processes to validate accessibility.</t>
  </si>
  <si>
    <t>Describe your processes and methodologies for validating accessibility conformance.</t>
  </si>
  <si>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</si>
  <si>
    <t>Have you adopted a technical or legal standard of conformance for the solution?</t>
  </si>
  <si>
    <t>Various federal and state governments in the United States and around the world have mandated accessibility technical requirements that should be considered and may be required when selling solutions to institutions in these jurisdictions.</t>
  </si>
  <si>
    <t>Summarize your decision to not adopt a technical or legal standard of conformance for the solution.</t>
  </si>
  <si>
    <t>Indicate which primary standards and all additional standards the solution meets.</t>
  </si>
  <si>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</si>
  <si>
    <t>Can you provide a current, detailed accessibility roadmap with delivery timelines?</t>
  </si>
  <si>
    <t>A detailed accessibility roadmap should reference improvements and progress on known accessibility issues as appropriate but does not necessarily need to list unreleased product features.</t>
  </si>
  <si>
    <t>Please provide any plans to develop and share an accessibility roadmap in the future.</t>
  </si>
  <si>
    <t>Comment on how far into the future the roadmap extends. Provide evidence (including links) of having delivered upon the accessibility roadmap in the past.</t>
  </si>
  <si>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</si>
  <si>
    <t>If no roadmap is available, seek additional information from the solution provider such as release notes that address accessibility and any feedback from users that address the accessibility of the solution.</t>
  </si>
  <si>
    <t>Do you expect your staff to maintain a current skill set in IT accessibility?</t>
  </si>
  <si>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</si>
  <si>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</si>
  <si>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</si>
  <si>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</si>
  <si>
    <t>Do you have documented processes and procedures for implementing accessibility into your development lifecycle?</t>
  </si>
  <si>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</si>
  <si>
    <t>Describe any plans to update processes and procedures to better incorporate accessibility.</t>
  </si>
  <si>
    <t>Provide further details in Additional Information.</t>
  </si>
  <si>
    <t>This question is designed to understand how accessibility is included in new versions and features of solutions, particularly with solution providers that implement Agile or similar methodologies where software is updated frequently and continuously.</t>
  </si>
  <si>
    <t>Can all functions of the application or service be performed using only the keyboard?</t>
  </si>
  <si>
    <t>Indicate a plan to test the solution; develop a roadmap for keyboard accessibility or any further context.</t>
  </si>
  <si>
    <t>State when and on which platform this was verified.</t>
  </si>
  <si>
    <t>One critical accessibility requirement is the full use of a product using only the keyboard, -no mouse or trackpad. This requirement is easy for a nontechnical or non-accessibility expert to understand and verify.</t>
  </si>
  <si>
    <t>To confirm keyboard-only claims, follow the how-to at Minimum Expectations for applications webpage &lt;https://go.iu.edu/minimum-expectations&gt; from Indiana University or reference WebAIM’s Keyboard Testing guidance &lt;https://webaim.org/techniques/keyboard/#testing&gt;.</t>
  </si>
  <si>
    <t>Does your product rely on activating a special "accessibility mode," a "lite version," or using an alternate interface (including “overlay” or AI-based alternates)  for accessibility purposes?</t>
  </si>
  <si>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</si>
  <si>
    <t>Describe any feature differences between standard and accessible modes, along with any timelines or plans to merge products into a universally designed platform.</t>
  </si>
  <si>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</si>
  <si>
    <t>Do you perform security assessments of third-party companies with which you share data (e.g., hosting providers, cloud services, PaaS, IaaS, SaaS)?*</t>
  </si>
  <si>
    <t>State your plans to perform security assessments of third-party companies.</t>
  </si>
  <si>
    <t>Provide a summary of your practices that assures that the third party will be subject to the appropriate standards regarding security, service recoverability, and confidentiality.</t>
  </si>
  <si>
    <t>Please explain why this does not apply to your organization, product or service.</t>
  </si>
  <si>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</si>
  <si>
    <t>Follow up with a robust question set if the solution provider cannot clearly state full control of the integrity of their system(s). Questions about administrator access on end-user devices and other maintenance and patching type questions are appropriate.</t>
  </si>
  <si>
    <t>Do you have contractual language in place with third parties governing access to institutional data?*</t>
  </si>
  <si>
    <t>List each third party and why institutional data is shared with them. Format example: [Third Party Name] - Reason</t>
  </si>
  <si>
    <t>The sharing of institutional data to fourth-parties may increase the risk to the institution and thus, we want to know who gets what data, when they get that data, and why they get that data.</t>
  </si>
  <si>
    <t>Follow-up inquiries concerning third-party data sharing will be institution/implementation specific.</t>
  </si>
  <si>
    <t>Do the contracts in place with these third parties address liability in the event of a data breach?*</t>
  </si>
  <si>
    <t>Knowing the protections and legal agreements in place for third-party data sharing may assist analysts in determining residual risk.</t>
  </si>
  <si>
    <t>Follow-up inquiries concerning legal agreements with third parties will be institution/implementation specific.</t>
  </si>
  <si>
    <t>Do you have an implemented third-party management strategy?*</t>
  </si>
  <si>
    <t>Robust answers from the solution provider improve the quality and efficiency of the security assessment process.</t>
  </si>
  <si>
    <t>State your plans to implement a third-party management strategy.</t>
  </si>
  <si>
    <t>Provide additional information that may help analysts better understand your environment and how it relates to third-party solutions.</t>
  </si>
  <si>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</si>
  <si>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</si>
  <si>
    <t>Do you have a process and implemented procedures for managing your hardware supply chain (e.g., telecommunications equipment, export licensing, computing devices)?</t>
  </si>
  <si>
    <t>Make sure you address any national or regional regulations.</t>
  </si>
  <si>
    <t>State your plans to create a process and implemented procedures for managing your hardware supply chain.</t>
  </si>
  <si>
    <t>State what countries and/or regions this process is compliant with.</t>
  </si>
  <si>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</si>
  <si>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Follow-up inquiries concerning hardware supply chain will be institution/implementation specific.</t>
  </si>
  <si>
    <t>Will the consultant require access to the institution's network resources?*</t>
  </si>
  <si>
    <t>Case-Specific</t>
  </si>
  <si>
    <t>If REQU-03 is no, populate solution provider answer with b4 in Auto Responses tab</t>
  </si>
  <si>
    <t>Consultants are often used to implement, maintain, fix, and assess technology environments. In these cases, third-party consultants have access to institutional data, and appropriate access, whether remote or onsite, must be protected during the consulting engagement.</t>
  </si>
  <si>
    <t>Has the consultant received training on (sensitive, HIPAA, PCI, etc.) data handling?*</t>
  </si>
  <si>
    <t>Is the data encrypted (at rest) while in the consultant's possession?*</t>
  </si>
  <si>
    <t>Please explain why this does not apply to your product or service.</t>
  </si>
  <si>
    <t>Can access be restricted based on source IP address?*</t>
  </si>
  <si>
    <t>Will the consulting take place on-premises?</t>
  </si>
  <si>
    <t>Will the consultant require access to hardware in the institution's data centers?</t>
  </si>
  <si>
    <t>Will the consultant require an account within the institution's domain (@*.edu)?</t>
  </si>
  <si>
    <t>Will any data be transferred to the consultant's possession?</t>
  </si>
  <si>
    <t>Will the consultant need remote access to the institution's network or systems?</t>
  </si>
  <si>
    <t>Are access controls for institutional accounts based on structured rules, such as role-based access control (RBAC), attribute-based access control (ABAC), or policy-based access control (PBAC)?*</t>
  </si>
  <si>
    <t>Infrastructure</t>
  </si>
  <si>
    <t>If REQU-01 is no, populate solution provider answer with B2 in Auto Responses tab</t>
  </si>
  <si>
    <t>This includes end users, administrators, service accounts, etc. PBAC would include various dynamic controls such as conditional access, risk-based access, location-based access, or system activity–based access.</t>
  </si>
  <si>
    <t>Describe any limitations that prevent support for RBAC for Institutional accounts.</t>
  </si>
  <si>
    <t>Describe available roles.</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</si>
  <si>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</si>
  <si>
    <t>Ask the solution provider to summarize the best practices to restrict/control the access given to the institution's end users without the use of RBAC. Make sure to understand the administrative requirements/overhead introduced in the solution provider's environment.</t>
  </si>
  <si>
    <t>Are you using a web application firewall (WAF)?*</t>
  </si>
  <si>
    <t>Describe compensating controls that protect your web application, if applicable.</t>
  </si>
  <si>
    <t>Describe the currently implemented WAF.</t>
  </si>
  <si>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</si>
  <si>
    <t>If a solution provider states that they outsource their code development and do not run a WAF, there is elevated reason for concern. Verify how code is tested, monitored, and controlled in production environments.</t>
  </si>
  <si>
    <t>Are only currently supported operating system(s), software, and libraries leveraged by the system(s)/application(s) that will have access to institution's data?*</t>
  </si>
  <si>
    <t>If the web application only works with a subset of modern supported browsers, please indicate that here.</t>
  </si>
  <si>
    <t>State your plan to migrate to supported operating systems, libraries, and software.</t>
  </si>
  <si>
    <t>Please provide a list of all required dependencies.</t>
  </si>
  <si>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</si>
  <si>
    <t>Follow-up inquiries for operating systems leveraged by the solution provider will be institution/implementation specific.</t>
  </si>
  <si>
    <t>Does your application require access to location or GPS data?*</t>
  </si>
  <si>
    <t>Please indicate any future plans that would require access to this data</t>
  </si>
  <si>
    <t>Please describe the reasons why in detail and state if that access can be limited to while your app is running.</t>
  </si>
  <si>
    <t>Sharing location data significantly increases risk factors for users. It's important to understand if this is required.</t>
  </si>
  <si>
    <t>Ask the solution provider about the need for this requirement, and understand any mitigation strategies that may be possible.</t>
  </si>
  <si>
    <t>Does your application provide separation of duties between security administration, system administration, and standard user functions?*</t>
  </si>
  <si>
    <t>State plans to implement functionality to provide separation of duties between security administration and system administration functions.</t>
  </si>
  <si>
    <t>Describe or provide a reference to the facilities available in the system to provide separation of duties between security administration and system administration functions.</t>
  </si>
  <si>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</si>
  <si>
    <t>Ask the solution provider to summarize their best practices for securing their system(s) administratively without the use of RBAC. Make sure to understand the administrative requirements/overhead introduced in the solution provider's environment.</t>
  </si>
  <si>
    <t>Do you subject your code to static code analysis and/or static application security testing prior to release?*</t>
  </si>
  <si>
    <t>State your plans to implement static code testing practices into your environment.</t>
  </si>
  <si>
    <t>Provide a list of all tools utilized during static code analysis or static application security testing.</t>
  </si>
  <si>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</si>
  <si>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</si>
  <si>
    <t>Do you have software testing processes (dynamic or static) that are established and followed?*</t>
  </si>
  <si>
    <t>State your plans to implement software testing processes into your environment.</t>
  </si>
  <si>
    <t>Describe testing processes, including but not limited to, development of test plans, personnel involved in the testing process, and authorized individual accountable for approval and certification of test results.</t>
  </si>
  <si>
    <t>Code analysis (prior to implementation) can decrease the number of vulnerabilities within a system. Depending on the insight a solution provider has into their code, code testing should be expected.</t>
  </si>
  <si>
    <t>If software testing processes are not established and followed, point the solution provider to OWASP's Testing Guide &lt;https://www.owasp.org/index.php/OWASP_Testing_Guide_v4_Table_of_Contents&gt;.</t>
  </si>
  <si>
    <t>Are access controls for staff within your organization based on structured rules, such as RBAC, ABAC, or PBAC?</t>
  </si>
  <si>
    <t>This includes system administrators and third-party personnel with access to the system. PBAC would include various dynamic controls such as conditional access, risk-based access, location-based access, or system activity–based access.</t>
  </si>
  <si>
    <t>Describe any limitations that prevent support for RBAC within your organization.</t>
  </si>
  <si>
    <t>Managing a solution may rely on various professionals to administer a system. This question is focused on how administration, and the segregation of functions, is implemented within the solution provider's infrastructure.</t>
  </si>
  <si>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</si>
  <si>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</si>
  <si>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</si>
  <si>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</si>
  <si>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</si>
  <si>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Inquire about any planned improvements to these capabilities. Ask about their product roadmap, and try to understand how they prioritize security concerns in their environment.</t>
  </si>
  <si>
    <t>Do you have a process and implemented procedures for managing your software supply chain (e.g., libraries, repositories, frameworks, etc.)?</t>
  </si>
  <si>
    <t>Include any in-house developed or contract development.</t>
  </si>
  <si>
    <t>Provide supporting documentation of your processes.</t>
  </si>
  <si>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</si>
  <si>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Follow-up inquiries concerning software supply chain will be institution/implementation specific.</t>
  </si>
  <si>
    <t>Have your developers been trained in secure coding techniques?</t>
  </si>
  <si>
    <t>State plans to implement a training program on industry standard secure coding practices.</t>
  </si>
  <si>
    <t>Summarize your secure coding training.</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</si>
  <si>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t>
  </si>
  <si>
    <t>If information security principles are not designed into the product lifecycle, point the solution provider to OWASP's Secure Coding Practices - Quick Reference Guide &lt;https://www.owasp.org/index.php/OWASP_Secure_Coding_Practices_-_Quick_Reference_Guide&gt;.</t>
  </si>
  <si>
    <t>Was your application developed using secure coding techniques?</t>
  </si>
  <si>
    <t>State plans to update your application to adhere to industry secure coding practices.</t>
  </si>
  <si>
    <t>Summarize your secure coding practices.</t>
  </si>
  <si>
    <t>If mobile, is the application available from a trusted source (e.g., App Store, Google Play Store)?</t>
  </si>
  <si>
    <t>Select N/A if there is no mobile version of your app.</t>
  </si>
  <si>
    <t>Describe how the application is distributed. Also, state any plans to publish the app to a trusted source.</t>
  </si>
  <si>
    <t>State the application title as listed within the trusted source.</t>
  </si>
  <si>
    <t>Distributing application via known, moderately vetted application platform decreases the chances of malicious code distribution. Stand-alone deployments (nontrusted sources) should be looked at more closely.</t>
  </si>
  <si>
    <t>Ask the solution provider why this deployment strategy is used. Ask if it is a restriction of the app store platform or some other environment restriction.</t>
  </si>
  <si>
    <t>Do you have a fully implemented policy or procedure that details how your employees obtain administrator access to institutional instance of the application?</t>
  </si>
  <si>
    <t>State plans to fully implement policy or procedure that details how administrator access is handled in your environment.</t>
  </si>
  <si>
    <t>Describe or provide a reference that details how administrator access is handled (e.g., provisioning, principle of least privilege, deprovisioning, etc.).</t>
  </si>
  <si>
    <t>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t>
  </si>
  <si>
    <t>Ask the solution provider to summarize their implemented policies and/or procedures</t>
  </si>
  <si>
    <t>Does your solution support single sign-on (SSO) protocols for user and administrator authentication?*</t>
  </si>
  <si>
    <t>Answer "yes" only if user AND administrator authentication is supported. If partially supported, answer "no." Ensure you respond to any guidance in the Additional Information column.</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</si>
  <si>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</si>
  <si>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</si>
  <si>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</si>
  <si>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</si>
  <si>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For customers not using SSO, does your solution support local authentication protocols for user and administrator authentication?*</t>
  </si>
  <si>
    <t>Describe any plans to support local authentication modes.</t>
  </si>
  <si>
    <t>Provide a detailed description of your local authentication mode practices.</t>
  </si>
  <si>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</si>
  <si>
    <t>The content of this response may or may not have value for the type of use case on the institution. Follow-up inquiries for authentication modes will be institution/implementation specific.</t>
  </si>
  <si>
    <t>For customers not using SSO, can you enforce password/passphrase complexity requirements (provided by the institution)?*</t>
  </si>
  <si>
    <t>Describe plans to support password/passphrase complexity requirements.</t>
  </si>
  <si>
    <t>Describe how password/passphrase complexity requirements are implemented in the product.</t>
  </si>
  <si>
    <t xml:space="preserve">Many institutions have a policy focused on passwords/passphrases, and this question confirms the capacity of a solution provider's solution to comply. If you will be using SSO, consider marking this question as "Do Not Score" in column J of the evaluation tab. </t>
  </si>
  <si>
    <t>Follow-up inquiries for password/passphrase complexity requirements will be institution/implementation specific.</t>
  </si>
  <si>
    <t>For customers not using SSO, does the system have password complexity or length limitations and/or restrictions?*</t>
  </si>
  <si>
    <t>Answer "yes" if your solution has internal limits to password complexity (max length, certain special characters unsupported, etc.).</t>
  </si>
  <si>
    <t>Describe these limitations and/or restrictions and state what lengths and complexities are supported.</t>
  </si>
  <si>
    <t>Follow-up inquiries for password/passphrase limitations and/or restrictions will be institution/implementation specific.</t>
  </si>
  <si>
    <t>For customers not using SSO, do you have documented password/passphrase reset procedures that are currently implemented in the system and/or customer support?*</t>
  </si>
  <si>
    <t>Describe your plans to document system password/passphrase reset procedures.</t>
  </si>
  <si>
    <t>Describe your documented password/passphrase reset procedures that are currently implemented in the system and/or customer support.</t>
  </si>
  <si>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</si>
  <si>
    <t>Ask the solution provider how end users will be supported. Ask for training documentation or knowledgebase content. Confirm solution provider and institution responsibilities in this support area (and others).</t>
  </si>
  <si>
    <t>Does your organization participate in InCommon or another eduGAIN-affiliated trust federation?*</t>
  </si>
  <si>
    <t>Describe plans to participate in InCommon or another eduGAIN-affiliated trust federation.</t>
  </si>
  <si>
    <t>List the entity IDs registered in the Additional Information column.</t>
  </si>
  <si>
    <t>This question defines the solution provider's scope of federated identity practices and their willingness to embrace higher education requirements.</t>
  </si>
  <si>
    <t>If a solution provider indicates that a system is stand-alone and cannot integrate with community standards, follow up with maturity questions and ask about other commodity type functions or other system requirements your institution may have.</t>
  </si>
  <si>
    <t>Are there any passwords/passphrases hard-coded into your systems or solutions?*</t>
  </si>
  <si>
    <t>Provide a detailed description of passwords/passphrases hard-coded into your systems or solutions.</t>
  </si>
  <si>
    <t>The response to this question can reveal the use (or not) of coding best practices. If passwords/passphrases are hard-coded into systems/productions, the solution provider should provide robust details supporting why this is required.</t>
  </si>
  <si>
    <t>Vague responses to this question should be met with concern. Repeat the question if the first answer is insufficient. Ask pointedly to ensure the solution provider is not misunderstanding.</t>
  </si>
  <si>
    <t>Are you storing any passwords in plaintext?*</t>
  </si>
  <si>
    <t>Provide a detailed description stating why account passwords/passphrases are not encrypted in storage.</t>
  </si>
  <si>
    <t>The focus of this question is confidentiality. It is a straightforward question confirming the encryption of user authentication details.</t>
  </si>
  <si>
    <t>Follow-up inquiries for password/passphrase encrypted storage will be institution/implementation specific.</t>
  </si>
  <si>
    <t>Are audit logs available that include AT LEAST all of the following: login, logout, actions performed, and source IP address?*</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</si>
  <si>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</si>
  <si>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</si>
  <si>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If a weak response is given, it is appropriate to ask directed questions to get specific information. Ensure that questions are targeted to ensure responses will come from the appropriate party within the solution provider.</t>
  </si>
  <si>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</si>
  <si>
    <t>Ensure that all elements of AAAI-10 are clearly stated in your response.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</si>
  <si>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</si>
  <si>
    <t>Can you provide the institution documentation regarding the retention period for those logs, how logs are protected, and whether they are accessible to the customer (and if so, how)?*</t>
  </si>
  <si>
    <t>Ensure that all elements of AAAI-11 are clearly stated in your response.</t>
  </si>
  <si>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</si>
  <si>
    <t>Follow-up inquiries for logging details will be institution/implementation specific.</t>
  </si>
  <si>
    <t>For customers not using SSO, does your application support integration with other authentication and authorization systems?</t>
  </si>
  <si>
    <t>Describe any plans to support integration with other authentication and authorization systems.</t>
  </si>
  <si>
    <t>List which systems and versions supported (such as Active Directory, Kerberos, or other LDAP compatible directory) in Additional Info.</t>
  </si>
  <si>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</si>
  <si>
    <t>If a solution provider indicates that a system is stand-alone and cannot integrate with the institution's infrastructure, follow up with maturity questions and ask about other commodity type functions or other system requirements your institution may have.</t>
  </si>
  <si>
    <t>Do you allow the customer to specify attribute mappings for any needed information beyond a user identifier? (e.g., Reference eduPerson, ePPA/ePPN/ePE)</t>
  </si>
  <si>
    <t>Describe plans to allow customers to specify attribute mappings.</t>
  </si>
  <si>
    <t>This questions allows an institution to know solution provider system limitations and to help them gauge the resources (that may be needed to implement) required to successfully integrate the solution with institution systems.</t>
  </si>
  <si>
    <t>Follow-up inquiries for attribute mapping requirements will be institution/implementation specific.</t>
  </si>
  <si>
    <t>For customers not using SSO, does your application support directory integration for user accounts?</t>
  </si>
  <si>
    <t>Describe any plans to support external authentication services in place of local authentication.</t>
  </si>
  <si>
    <t>Describe all authentication services supported by the system.</t>
  </si>
  <si>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</si>
  <si>
    <t>Follow-up inquiries for system authentication will be unique to your institution (e.g., policy, infrastructure, etc.).</t>
  </si>
  <si>
    <t>Does your solution support any of the following web SSO standards: SAML2 (with redirect flow), OIDC, CAS, or other?</t>
  </si>
  <si>
    <t>An answer of "yes" should be well-supported in the Additional Information column, and all elements of interest should be sufficiently addressed.</t>
  </si>
  <si>
    <t>Describe plans to support web SSO in your solution.</t>
  </si>
  <si>
    <t>State the web SSO standards supported by your solution and provide additional details about your support, including framework(s) in use, how information is exchanged securely, etc.</t>
  </si>
  <si>
    <t>Do you support differentiation between email address and user identifier?</t>
  </si>
  <si>
    <t>Describe any plans to support differentiation between email address and user identifier.</t>
  </si>
  <si>
    <t>Follow-up inquiries for identifier requirements will be institution/implementation specific.</t>
  </si>
  <si>
    <t>For customers not using SSO, does your application and/or user frontend/portal support multifactor authentication (e.g., Duo, Google Authenticator, OTP, etc.)?</t>
  </si>
  <si>
    <t>Describe any plans to support multifactor authentication in your application.</t>
  </si>
  <si>
    <t>List all supported multifactor authentication methods, technologies, and/or solutions and provide a brief summary of each.</t>
  </si>
  <si>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</si>
  <si>
    <t>Ask the solution provider about hardware and software options, future roadmap for implementations and support, etc.</t>
  </si>
  <si>
    <t>Does your application automatically lock the session or log out an account after a period of inactivity?</t>
  </si>
  <si>
    <t>Describe any plans to support automatic lock or log-out.</t>
  </si>
  <si>
    <t>Describe the default behavior of this capability.</t>
  </si>
  <si>
    <t>This is a question to ensure account integrity and institutional data confidentiality.</t>
  </si>
  <si>
    <t>Follow-up inquiries for inactivity protections will be institution/implementation specific.</t>
  </si>
  <si>
    <t>Will the institution be notified of major changes to your environment that could impact the institution's security posture?*</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</si>
  <si>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</si>
  <si>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</si>
  <si>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</si>
  <si>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If the solution provider's response does not cover the details outlined in the reasoning, follow up and get specific responses for each, as needed.</t>
  </si>
  <si>
    <t>Does the system support client customizations from one release to another?*</t>
  </si>
  <si>
    <t>Ensure that all relevant details pertaining to CHNG-06 are clearly stated in your response.</t>
  </si>
  <si>
    <t>Clarify the lack of support strategy for client customizations from one release to another.</t>
  </si>
  <si>
    <t>Describe or provide reference to your solution support strategy in regard to maintaining client customizations from one release to another.</t>
  </si>
  <si>
    <t>The solution provider's solution characteristics and the institution's use case will determine the relevancy of this question. The purpose of this question is to understand the underlying infrastructure and how it is maintained across all customers.</t>
  </si>
  <si>
    <t>In cases where the solution is customized for customer use cases, ensure the solution provider's response covers all aspects of code migration, including backups, data conversions, local resources from the institution, etc., as it relates to code upgrades and/or version adoptions.</t>
  </si>
  <si>
    <t>Do you have an implemented system configuration management process (e.g., secure "gold" images, etc.)?*</t>
  </si>
  <si>
    <t>Describe how system configuration management is currently handled in your environment.</t>
  </si>
  <si>
    <t>Summarize your implemented system configuration management process.</t>
  </si>
  <si>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</si>
  <si>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</si>
  <si>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</si>
  <si>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</si>
  <si>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</si>
  <si>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</si>
  <si>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Does your change management process minimally include authorization, impact analysis, testing, and validation before moving changes to production?</t>
  </si>
  <si>
    <t>State your plans to implement change management in your environment or clarify what your change management processes do include.</t>
  </si>
  <si>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</si>
  <si>
    <t>This question outlines a mature change management process. Changes should be analyzed for impact, officially approved, tested, and performed by authorized users.</t>
  </si>
  <si>
    <t>If the solution provider's response does not cover the details outlined in the reasoning, follow up and get specific responses, as needed.</t>
  </si>
  <si>
    <t>Does your change management process verify that all required third-party libraries and dependencies are still supported with each major change?</t>
  </si>
  <si>
    <t>Please describe any plans to implement third-party library dependency tracking.</t>
  </si>
  <si>
    <t>Please describe your program to track these dependencies.</t>
  </si>
  <si>
    <t>This question is fundamentally about supply chain. The solution provider should be able to document its procedures around tracking libraries maintained by third parties.</t>
  </si>
  <si>
    <t>If the solution provider's response does not cover the details outlined in the reasoning, follow-up and get specific responses for each, as needed.</t>
  </si>
  <si>
    <t>Do you have policy and procedure, currently implemented, managing how critical patches are applied to all systems and applications?</t>
  </si>
  <si>
    <t>State your plans to implement policy and procedure(s) to manage how critical patches are applied to systems and applications.</t>
  </si>
  <si>
    <t>Summarize the policy and procedure(s) managing how critical patches are applied to systems and applications.</t>
  </si>
  <si>
    <t>Answers to this question will reveal the solution provider’s knowledge of their IT assets and their ability to respond to notifications about their systems and software.</t>
  </si>
  <si>
    <t>Follow-up inquiries for the solution provider’s patching practices will be institution/implementation specific.</t>
  </si>
  <si>
    <t>Have you implemented policies and procedures that guide how security risks are mitigated until patches can be applied?</t>
  </si>
  <si>
    <t>State your plans to implement policy and procedure(s) guiding risk mitigation practices before critical patches can be applied.</t>
  </si>
  <si>
    <t>Summarize the policy and procedure(s) guiding risk mitigation practices before critical patches can be applied.</t>
  </si>
  <si>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</si>
  <si>
    <t>Follow-up inquiries for the solution providers patching practices will be institution/implementation specific.</t>
  </si>
  <si>
    <t>Do clients have the option to not participate in or postpone an upgrade to a new release?</t>
  </si>
  <si>
    <t>Summarize why clients do not have alternative release options.</t>
  </si>
  <si>
    <t>Provide reference the  process/procedure to manage releases.</t>
  </si>
  <si>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</si>
  <si>
    <t>Follow-up inquiries for solution version releases will be institution/implementation specific.</t>
  </si>
  <si>
    <t>Do you have a fully implemented solution support strategy that defines how many concurrent versions you support?</t>
  </si>
  <si>
    <t>List the current version you support and what percentage of customers are utilizing that version.</t>
  </si>
  <si>
    <t>Clarify the lack of support strategy for concurrent versions in your solution.</t>
  </si>
  <si>
    <t>Describe or provide a reference to your solution support strategy in regard to maintaining software currency (i.e., how many concurrent versions are you willing to run and support?).</t>
  </si>
  <si>
    <t>Supporting multiple versions of a solution is challenging. Understanding the solution provider’s strategy and resources will provide insight into its ability to adequately support their customers.</t>
  </si>
  <si>
    <t>Follow-up inquiries for the solution provider’s support of concurrent versions will be institution/implementation specific.</t>
  </si>
  <si>
    <t>Do you have a release schedule for product updates?</t>
  </si>
  <si>
    <t>State any plans to release a schedule of product updates.</t>
  </si>
  <si>
    <t>Provide a reference to this solution's release schedule.</t>
  </si>
  <si>
    <t>Answers to this question will reveal the solution provider’s ability to plan in the short term. This is valuable information for customers so they can anticipate updates and potential bug fixes.</t>
  </si>
  <si>
    <t>Follow-up inquiries for the solution provider’s solution update practices will be institution/implementation specific.</t>
  </si>
  <si>
    <t>Do you have a technology roadmap, for at least the next two years, for enhancements and bug fixes for the solution being assessed?</t>
  </si>
  <si>
    <t>State any plans to release a technology roadmap covering the next two years.</t>
  </si>
  <si>
    <t>Provide a reference to your technology roadmap.</t>
  </si>
  <si>
    <t>Answers to this question will reveal the solution provider’s ability to plan for the future of their solution.</t>
  </si>
  <si>
    <t>Follow-up inquiries for the solution provider’s technology planning practices will be institution/implementation specific.</t>
  </si>
  <si>
    <t>Can solution updates be completed without institutional involvement (i.e., technically or organizationally)?</t>
  </si>
  <si>
    <t>Summarize the institution's responsibilities during solution updates.</t>
  </si>
  <si>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</si>
  <si>
    <t>Vague responses to this question should be investigated further. Ask for additional documentation for customer responsibilities (in the context of information technology/security).</t>
  </si>
  <si>
    <t>Are upgrades or system changes installed during off-peak hours or in a manner that does not impact the customer?</t>
  </si>
  <si>
    <t>Describe plans to minimize the impact of downtime based on predefined off-peak hours.</t>
  </si>
  <si>
    <t>Define current off-peak hours, including time zones as necessary.</t>
  </si>
  <si>
    <t>Restricting system updates to a standard maintenance timeframe is important for ensuring that changes to production systems do not impact operations. It’s also important for troubleshooting any problems that may occur as a result of the changes.</t>
  </si>
  <si>
    <t>Do procedures exist to provide that emergency changes are documented and authorized (including after-the-fact approval)?</t>
  </si>
  <si>
    <t>Describe plans to implement procedure ensuring that emergency changes are documented and authorized.</t>
  </si>
  <si>
    <t>Summarize implemented procedures ensuring that emergency changes are documented and authorized.</t>
  </si>
  <si>
    <t>In the context of the CIA triad, this question is focused on system integrity, ensuring that system changes are only executed by authorized users. In the event of emergency changes, accountability and post-action review are expected.</t>
  </si>
  <si>
    <t>Follow up with a robust question set if a solution provider cannot clearly state full control of the integrity of their system(s).</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</si>
  <si>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</si>
  <si>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</si>
  <si>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</si>
  <si>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Will the institution's data be stored on any devices (database servers, file servers, SAN, NAS, etc.) configured with non-RFC 1918/4193 (i.e., publicly routable) IP addresses?*</t>
  </si>
  <si>
    <t>State the need for this strategy, in detail.</t>
  </si>
  <si>
    <t>Systems that are directly exposed to public internet resources are at greater risk than those that are not. Understanding the requirements for this configuration is important, particularly when assessing compensating controls.</t>
  </si>
  <si>
    <t>Ask the solution provider about its infrastructure and if there is a solution that eliminates the need for this environment.</t>
  </si>
  <si>
    <t>Is the transport of sensitive data encrypted using security protocols/algorithms (e.g., system-to-client)?*</t>
  </si>
  <si>
    <t>Describe why sensitive data is not encrypted in transport.</t>
  </si>
  <si>
    <t>Summarize your transport encryption strategy.</t>
  </si>
  <si>
    <t>The need for encryption in transport is unique to your institution's implementation of a system. In particular, the data flow between the system and the end users of the solution.</t>
  </si>
  <si>
    <t>Follow-up inquiries for data encryption between the system and end-users will be institution/implementation specific.</t>
  </si>
  <si>
    <t>Is the storage of sensitive data encrypted using security protocols/algorithms (e.g., disk encryption, at-rest, files, and within a running database)?*</t>
  </si>
  <si>
    <t>Describe why sensitive data is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</si>
  <si>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</si>
  <si>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</si>
  <si>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</si>
  <si>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Do all cryptographic modules in use in your solution conform to the Federal Information Processing Standards (FIPS PUB 140-2 or 140-3)?*</t>
  </si>
  <si>
    <t>Provide a detailed description of all non-conforming modules.</t>
  </si>
  <si>
    <t>Provide reference to FIPS 140-3 validation certificates.</t>
  </si>
  <si>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</si>
  <si>
    <t>If the solution provider cannot accommodate open standards encryption requirements, direct them to NIST's Cryptographic Standards and Guidelines document &lt;https://csrc.nist.gov/Projects/Cryptographic-Standards-and-Guidelines&gt;.</t>
  </si>
  <si>
    <t>Will the institution's data be available within the system for a period of time at the completion of this contract?*</t>
  </si>
  <si>
    <t>Describe your data export procedures conducted at the termination of contract.</t>
  </si>
  <si>
    <t>State the length of time that the institution's data will be available in the system at the completion of the contract.</t>
  </si>
  <si>
    <t>When cancelling a solution, an institution will commonly want all institutional data that was provided to a solution provider. This questions allows the solution provider to state their general practices when a customer leaves their environment.</t>
  </si>
  <si>
    <t>A solution provider's response should be clear and concise. Be wary of vague responses to this questions and inquire about export specifics, as needed.</t>
  </si>
  <si>
    <t>Are ownership rights to all data, inputs, outputs, and metadata retained even through a provider acquisition or bankruptcy event?*</t>
  </si>
  <si>
    <t>Provide a detailed description why rights are not retained.</t>
  </si>
  <si>
    <t>Provide references, as needed.</t>
  </si>
  <si>
    <t>This question clarifies the position of the institution in the case of acquisition or bankruptcy. Expect clear responses to this question. If they are vague, be sure to follow up based on institutional counsel guidance.</t>
  </si>
  <si>
    <t>If a solution provider's response is unsatisfactory, engage institutional counsel to appropriately address any ownership concerns.</t>
  </si>
  <si>
    <t>Do backups containing the institution's data ever leave the institution's data zone either physically or via network routing?*</t>
  </si>
  <si>
    <t>Summarize why backups containing the institution's data leave the institution's data zone.</t>
  </si>
  <si>
    <t>Data exposure is a risk if sensitive data is in any way transported (physically or electronically) into a data zone that is not authorized by the institution. Depending on the criticality of data and institution policy, full control of data confidentiality may be highly valued.</t>
  </si>
  <si>
    <t>Follow-up inquiries for data backup procedures/practices will be institution/implementation specific.</t>
  </si>
  <si>
    <t>Is media used for long-term retention of business data and archival purposes stored in a secure, environmentally protected area?*</t>
  </si>
  <si>
    <t>State plans to store long-term media in environmentally protected areas.</t>
  </si>
  <si>
    <t>Provide a general summary of your archival environment.</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</si>
  <si>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</si>
  <si>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</si>
  <si>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At the completion of this contract, will data be returned to the institution and/or deleted from all your systems and archives?</t>
  </si>
  <si>
    <t xml:space="preserve">Please specify if it will be returned, deleted, or both. </t>
  </si>
  <si>
    <t>State plans to implement capabilities for the institution to retrieve its data.</t>
  </si>
  <si>
    <t>When cancelling a solution, an institution will commonly want all institutional data that was provided to a solution provider. This question allows the solution provider to state its general practices when a customer leaves its environment.</t>
  </si>
  <si>
    <t>Can the institution extract a full or partial backup of data?</t>
  </si>
  <si>
    <t>State plans to implement capabilities for the institution to extract a full or partial backup of data.</t>
  </si>
  <si>
    <t>Provide a general summary of how full and partial backups of data can be extracted.</t>
  </si>
  <si>
    <t>When cancelling a solution, an institution will commonly want all institutional data that was provided to a solution provider. The solution provider's response should verify if the institution can extract data or if it is a manual extraction by solution provider staff.</t>
  </si>
  <si>
    <t>Do current backups include all operating system software, utilities, security software, application software, and data files necessary for recovery?</t>
  </si>
  <si>
    <t>State plans to include the elements listed in DATA-13 in your backup strategy.</t>
  </si>
  <si>
    <t>Describe your overall strategy to accomplish these elements.</t>
  </si>
  <si>
    <t>The purpose of this question is to define the scope of backup operations and the scope at which a solution provider may readily recover when backup restoration is required.</t>
  </si>
  <si>
    <t>Follow-up inquiries for backup content scope will be institution/implementation specific.</t>
  </si>
  <si>
    <t>Are you performing off-site backups (i.e., digitally moved off site)?</t>
  </si>
  <si>
    <t>State any plans to implement off-site virtual backups in your environment.</t>
  </si>
  <si>
    <t>Summarize your off-site backup strategy.</t>
  </si>
  <si>
    <t>When data is moved digitally (e.g., cloud provider, solution provider-owned facility, etc.) off-site, the policies and implemented procedures are important to know. The protections implemented to prevent compromise will be technical in nature and should be well-documented.</t>
  </si>
  <si>
    <t>Follow-up inquiries for off-site, digital backups will be institution/implementation specific.</t>
  </si>
  <si>
    <t>Are physical backups taken off-site (i.e., physically moved off site)?</t>
  </si>
  <si>
    <t>State any plans to implement off-site physical backups in your environment.</t>
  </si>
  <si>
    <t>Provide the distance (in miles) between the primary and off-site locations.</t>
  </si>
  <si>
    <t>When data is moved physically (e.g., print, etc.) off-site, the policies and implemented procedures are important to know. Unencrypted data taken outside secured areas introduces unnecessary risks.</t>
  </si>
  <si>
    <t>Follow-up inquiries for off-site, physical backups will be institution/implementation specific.</t>
  </si>
  <si>
    <t>Are data backups encrypted?</t>
  </si>
  <si>
    <t>Summarize why backups are not encrypted.</t>
  </si>
  <si>
    <t>Summarize the encryption algorithm/strategy you are using to secure backups.</t>
  </si>
  <si>
    <t>The need for encryption at rest (for backups) is unique to your institution's implementation of a system. In particular, system components, architectures, and data flows all factor into the need for this control.</t>
  </si>
  <si>
    <t>Follow-up inquiries for data backup encryption at-rest will be institution/implementation specific.</t>
  </si>
  <si>
    <t>Do you have a media handling process that is documented and currently implemented that meets established business needs and regulatory requirements, including end-of-life, repurposing, and data-sanitization procedures?</t>
  </si>
  <si>
    <t>Provide a detailed summary of media handling processes that do exist.</t>
  </si>
  <si>
    <t>Provide documented details of this process (link or attached).</t>
  </si>
  <si>
    <t>Does the process described in DATA-15 adhere to DoD 5220.22-M and/or NIST SP 800-88 standards?</t>
  </si>
  <si>
    <t>State plans to adhere to DoD 5220.22-M and/or NIST SP 800-88 standards.</t>
  </si>
  <si>
    <t>Follow-up inquiries for DoD 5220.22-M and/or SP800-88 standards will be institution specific.</t>
  </si>
  <si>
    <t>Does your staff (or third party) have access to institutional data (e.g., financial, PHI, or other sensitive information) through any means?</t>
  </si>
  <si>
    <t>Summarize what access staff (or third parties) have to institutional data.</t>
  </si>
  <si>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</si>
  <si>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</si>
  <si>
    <t>Do you have a documented and currently implemented strategy for securing employee workstations when they work remotely (i.e., not in a trusted computing environment)?</t>
  </si>
  <si>
    <t>Provide a detailed summary outlining the security controls implemented to protect the institution's data.</t>
  </si>
  <si>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</si>
  <si>
    <t>Vague responses to this question should be investigated further. Ask for additional documentation and verify that procedure (and possibly training) exists to ensure proper customer data handling activity.</t>
  </si>
  <si>
    <t>Does the environment provide for dedicated single-tenant capabilities? If not, describe how your solution or environment separates data from different customers (e.g., logically, physically, single tenancy, multi-tenancy).</t>
  </si>
  <si>
    <t>Describe your plan to separate institution data from that of other customers.</t>
  </si>
  <si>
    <t>Describe or provide a reference to how institution data is separated from that of other customers.</t>
  </si>
  <si>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</si>
  <si>
    <t>Follow-up inquiries for dedicated single-tenant capabilities will be institution/implementation specific.</t>
  </si>
  <si>
    <t>Are ownership rights to all data, inputs, outputs, and metadata retained by the institution?</t>
  </si>
  <si>
    <t>Describe in detail why ownership rights are not retained by the institution.</t>
  </si>
  <si>
    <t>Provide reference to your data ownership documentation.</t>
  </si>
  <si>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</si>
  <si>
    <t>In the event of imminent bankruptcy, closing of business, or retirement of service, will you provide 90 days for customers to get their data out of the system and migrate applications?</t>
  </si>
  <si>
    <t>Provide a detailed summary to support your selection.</t>
  </si>
  <si>
    <t>State how the institution will be notified of imminent termination.</t>
  </si>
  <si>
    <t>Are involatile backup copies made according to predefined schedules and securely stored and protected?</t>
  </si>
  <si>
    <t>Ensure that response addresses involatile storage and lists retention periods.</t>
  </si>
  <si>
    <t>State how the institution's data is protected from system failures and ransomware.</t>
  </si>
  <si>
    <t>If your strategy uses different processes for services and data, ensure that all strategies are clearly stated and supported.</t>
  </si>
  <si>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</si>
  <si>
    <t>An institution's use case will drive the requirements for backup strategy. Ensure that the institution's use case and risk tolerance can be met by solution provider systems.</t>
  </si>
  <si>
    <t>Do you have a cryptographic key management process (generation, exchange, storage, safeguards, use, vetting, and replacement) that is documented and currently implemented, for all system components (e.g., database, system, web, etc.)?</t>
  </si>
  <si>
    <t>Summarize your cryptographic key management process.</t>
  </si>
  <si>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</si>
  <si>
    <t>Follow up with the solution provider to ensure that all components of the system are considered. This includes system-to-system, system-to-client, applications, system accounts, etc.</t>
  </si>
  <si>
    <t>Select your hosting option.</t>
  </si>
  <si>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</si>
  <si>
    <t>If you are using an option not listed, or a combination of options, select "Other." Your selection here will determine which questions below are required.</t>
  </si>
  <si>
    <t>Understanding the hosting environment may reveal infrastructure risks that may not be apparent by other means and provides context to the responses provided throughout this HECVAT.</t>
  </si>
  <si>
    <t>Follow-up inquiries for hosting options will be institution/implementation specific.</t>
  </si>
  <si>
    <t>Is a SOC 2 Type 2 report available for the hosting environment?</t>
  </si>
  <si>
    <t>Obtain the report if possible and add it to your submission.</t>
  </si>
  <si>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</si>
  <si>
    <t>Follow-up inquiries for additional solution provider's SOC 2 Type 2 reports will be institution/implementation specific.</t>
  </si>
  <si>
    <t>Are you generally able to accommodate storing each institution's data within its geographic region?</t>
  </si>
  <si>
    <t>Please indicate which geographic regions you can provide storage in the Additional Info column.</t>
  </si>
  <si>
    <t>Under what circumstances would institutional data leave a designated region or regions?</t>
  </si>
  <si>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</si>
  <si>
    <t>If a solution provider is unable to accommodate storing/processing institutional data within specific regions, ask them why they are unable to. Try to determine if it's an infrastructure issue (scalability), a cost-reduction strategy (size/maturity), or some other issue.</t>
  </si>
  <si>
    <t>Are the data centers staffed 24 hours a day, seven days a week (i.e., 24 x 7 x 365)?</t>
  </si>
  <si>
    <t>State any plans to staff data centers 24 x 7 x 365.</t>
  </si>
  <si>
    <t>Describe the on-site staff capabilities.</t>
  </si>
  <si>
    <t>Solution Providers that operate their own datacenter(s) can implement their own monitoring strategy. Use the solution provider's response to this questions to verify/validate other responses related to ownership/co-location/physical security.</t>
  </si>
  <si>
    <t>Follow-up inquiries for data center staffing will be institution/implementation specific.</t>
  </si>
  <si>
    <t>Are your servers separated from other companies via a physical barrier, such as a cage or hard walls?</t>
  </si>
  <si>
    <t>State plans to separate your servers from others via a physical barrier.</t>
  </si>
  <si>
    <t>Describe your physical barrier strategy.</t>
  </si>
  <si>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</si>
  <si>
    <t>Follow-up inquiries for system physical security will be institution/implementation specific.</t>
  </si>
  <si>
    <t>Does a physical barrier fully enclose the physical space, preventing unauthorized physical contact with any of your devices?*</t>
  </si>
  <si>
    <t>State plans to implement a physical barrier to prevent physical contact with any of your devices.</t>
  </si>
  <si>
    <t>Are your primary and secondary data centers geographically diverse?</t>
  </si>
  <si>
    <t>Describe any plans to implement.</t>
  </si>
  <si>
    <t>State your primary and secondary data center locations. For cloud infrastructures, state the primary and secondary zones.</t>
  </si>
  <si>
    <t>When planning for business continuity and disaster recovery, considering geographic diversity of a solution provider's operating environment will help analysts better understand risk due to widespread technical issues as well as weather and environmental considerations.</t>
  </si>
  <si>
    <t>Follow-up inquiries for geographic diversity in datacenters will be institution/implementation specific.</t>
  </si>
  <si>
    <t>Is the service hosted in a high-availability environment?</t>
  </si>
  <si>
    <t>Describe any plans to implement a high-availability environment for your systems.</t>
  </si>
  <si>
    <t>Provide a summary to support your response selection.</t>
  </si>
  <si>
    <t>In the context of the CIA triad, this question is focused on the availability of a system (or set of systems).</t>
  </si>
  <si>
    <t>The weight placed on the solution provider's response will be specific to the institution's use case and solution requirements.</t>
  </si>
  <si>
    <t>Is redundant power available for all data centers where institutional data will reside?</t>
  </si>
  <si>
    <t>Describe any plans to implement a redundant power environment for your systems.</t>
  </si>
  <si>
    <t>Provide a detailed description of the implemented strategy (i.e., batteries, generator).</t>
  </si>
  <si>
    <t>Are redundant power strategies tested?*</t>
  </si>
  <si>
    <t>State plans to implement redundant power testing for your systems.</t>
  </si>
  <si>
    <t>State how often redundant power strategies are tested and the date of the last successful test.</t>
  </si>
  <si>
    <t>Installing (potential) redundant power and regularly testing strategies to ensure they will work when needed are very different. Vague responses to this question should be met with concern and appropriate follow up, based on your institution's risk tolerance.</t>
  </si>
  <si>
    <t>Follow-up inquiries for redundant power testing details will be institution/implementation specific.</t>
  </si>
  <si>
    <t>Does the center where the data will reside have cooling and fire-suppression systems that are active and regularly tested?</t>
  </si>
  <si>
    <t>Installing appropriate environmental controls is crucial to maintaining the integrity of the hosting site. Vague responses to this question should be met with concern and appropriate follow up, based on your institutions risk tolerance.</t>
  </si>
  <si>
    <t>Follow-up inquiries for cooling and fire suppression systems will be institution/implementation specific.</t>
  </si>
  <si>
    <t>Do you have Internet Service Provider (ISP) redundancy?</t>
  </si>
  <si>
    <t>State the ISP provider(s) in addition to the number of ISPs that provide connectivity.</t>
  </si>
  <si>
    <t>State how many Internet Service Providers (ISPs) provide connectivity to each data center where the institution's data will reside.</t>
  </si>
  <si>
    <t>Does every data center where the institution's data will reside have multiple telephone company or network provider entrances to the facility?</t>
  </si>
  <si>
    <t>State plans to implement diversity of path in your network provider connections.</t>
  </si>
  <si>
    <t>Provide a brief description for each datacenter.</t>
  </si>
  <si>
    <t>Do you require multifactor authentication for all administrative accounts in your environment?</t>
  </si>
  <si>
    <t>Describe plans to implement MFA.</t>
  </si>
  <si>
    <t>State which model of MFA you are using.</t>
  </si>
  <si>
    <t>2FA/MFA, implemented correctly, strengthens the security state of a system. 2FA/MFA is commonly implemented and in many use cases is a requirement for account protection purposes.</t>
  </si>
  <si>
    <t>Are you using your cloud provider's available hardening tools or pre-hardened images?</t>
  </si>
  <si>
    <t>Describe how you alternately harden your images.</t>
  </si>
  <si>
    <t>In the context of the CIA triad, this question is focused on the integrity of a system (or set of systems).</t>
  </si>
  <si>
    <t>Ask the solution provider about their system lifecycle practices and security methodology.</t>
  </si>
  <si>
    <t>Does your cloud solution provider have access to your encryption keys?</t>
  </si>
  <si>
    <t>Describe your key management practices.</t>
  </si>
  <si>
    <t>Are you utilizing a stateful packet inspection (SPI) firewall?*</t>
  </si>
  <si>
    <t>Describe any plans to implement a SPI firewall.</t>
  </si>
  <si>
    <t>Describe the currently implemented SPI firewall.</t>
  </si>
  <si>
    <t>The use case, vendor infrastructure, and types of services offered will greatly affect the need for various firewalling devices. The focus of this question is integrity, ensuring that the systems hosting institutional data are limited in need-only communications.</t>
  </si>
  <si>
    <t>Follow-up inquiries for firewall capabilities will be institution/implementation specific.</t>
  </si>
  <si>
    <t>Do you have a documented policy for firewall change requests?*</t>
  </si>
  <si>
    <t>Describe your plans to implement a documented policy for firewall change requests.</t>
  </si>
  <si>
    <t>Describe your documented firewall change request policy.</t>
  </si>
  <si>
    <t>In the context of the CIA triad, this question is focused on system integrity, ensuring that system changes are only executed by authorized users. Any change to a verified, known, secure environment should be carefully evaluated by stakeholders in a structured manner.</t>
  </si>
  <si>
    <t>Follow-up inquiries for firewall change requests will be institution/implementation specific.</t>
  </si>
  <si>
    <t>Have you implemented an intrusion detection system (network-based)?*</t>
  </si>
  <si>
    <t>Describe your plan to implement an intrusion detection system in your environment.</t>
  </si>
  <si>
    <t>Describe the currently implemented IDS.</t>
  </si>
  <si>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</si>
  <si>
    <t>A security program with limited resources for event detection is not effective. Inquiries should include training for staff, reasoning behind not using IDS technologies, and how systems are monitored. Additional questions about a SIEM and other tool may be appropriate.</t>
  </si>
  <si>
    <t>Do you employ host-based intrusion detection?*</t>
  </si>
  <si>
    <t>Describe your plan to implement host-based intrusion detection system capabilities in your environment.</t>
  </si>
  <si>
    <t>Describe the currently implemented host-based IDS solution(s).</t>
  </si>
  <si>
    <t>Ask the solution provider to summarize why host-based intrusion detection tools are not implemented in their environment. What compensating controls are in place to detect configuration changes and/or failures of integrity?</t>
  </si>
  <si>
    <t>Are audit logs available for all changes to the network, firewall, IDS, and IPS systems?*</t>
  </si>
  <si>
    <t>State plans to implement auditing capabilities for your network, firewall, IDS, and/or IPS.</t>
  </si>
  <si>
    <t>Describe your current network systems logging strategy.</t>
  </si>
  <si>
    <t>Strong logging capabilities are vital to the proper management of a network. Implementing an immature system that lacks sufficient logging capabilities exposes an institution to great risk.</t>
  </si>
  <si>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</si>
  <si>
    <t>Is authority for firewall change approval documented? Please list approver names or titles in Additional Info.</t>
  </si>
  <si>
    <t>Describe how firewall changes are approved.</t>
  </si>
  <si>
    <t>List approver names or titles.</t>
  </si>
  <si>
    <t>Modifications to firewall rule sets can have significant repercussions. To ensure the integrity of the rule set, this question targets the individual (or responsible party) for changes and the reasoning behind their authority.</t>
  </si>
  <si>
    <t>Ensure that a separation of duties exists in network security configurations. Pay close attention to responsibility overlap in small organizations, where staff often fill multiple roles.</t>
  </si>
  <si>
    <t>Have you implemented an intrusion prevention system (network-based)?</t>
  </si>
  <si>
    <t>Describe your plan to implement an intrusion prevention system in your environment.</t>
  </si>
  <si>
    <t>Describe the currently implemented IPS.</t>
  </si>
  <si>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</si>
  <si>
    <t>A security program with limited resources for active prevention is inefficient. Inquiries should include training for staff, reasoning behind not using IPS technologies, and how systems are actively protected and how malicious activity is stopped.</t>
  </si>
  <si>
    <t>Do you employ host-based intrusion prevention?</t>
  </si>
  <si>
    <t>Describe your plan to implement host-based intrusion prevention system capabilities in your environment.</t>
  </si>
  <si>
    <t>Describe the currently implemented host-based IPS solution(s).</t>
  </si>
  <si>
    <t>Ask the solution provider to summarize why host-based intrusion prevention tools are not implemented in their environment. What compensating controls are in place to detect malicious activity and to actively prevent its function?</t>
  </si>
  <si>
    <t>Are you employing any next-generation persistent threat (NGPT) monitoring?</t>
  </si>
  <si>
    <t>Describe your intent to implement NGPT monitoring.</t>
  </si>
  <si>
    <t>Describe your NGPT monitoring strategy.</t>
  </si>
  <si>
    <t>This question is primarily focused on determining the maturity of a solution provider's security program and their ability to implement and operate cutting-edge technologies. Investment in advanced technologies may indicate appropriate security program capabilities.</t>
  </si>
  <si>
    <t>Follow-up inquiries for next-generation persistent threat monitoring will be institution/implementation specific.</t>
  </si>
  <si>
    <t>Is intrusion monitoring performed internally or by a third-party service?</t>
  </si>
  <si>
    <t>In addition to stating your intrusion monitoring strategy, provide a brief summary of its implementation.</t>
  </si>
  <si>
    <t>This question is primarily focused on the capability of a solution provider's security program. Understanding the size and skillsets of a solution provider (taken from other responses) is needed to determine the appropriateness of the solution provider's response to this question.</t>
  </si>
  <si>
    <t>Follow-up inquiries for intrusion monitoring will be institution/implementation specific.</t>
  </si>
  <si>
    <t>Do you monitor for intrusions on a 24 x 7 x 365 basis?</t>
  </si>
  <si>
    <t>State plans to implement 24 x 7 x 365 intrusion monitoring in your environment(s).</t>
  </si>
  <si>
    <t>Provide a brief summary of this activity.</t>
  </si>
  <si>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</si>
  <si>
    <t>Follow-up inquiries for 24 x 7 x 365 monitoring will be institution/implementation specific.</t>
  </si>
  <si>
    <t>Do you have a documented patch management process?*</t>
  </si>
  <si>
    <t>In the context of the CIA triad, this question is focused on system integrity, ensuring that system changes are only executed according to policy. Additionally, it is expected that devices used to access the solution provider's systems are properly managed and secured.</t>
  </si>
  <si>
    <t>Follow up with a robust question set if the solution provider cannot clearly state full control of their system patching strategy. Questions about patch testing, testing environments, threat mitigation, incident remediation, etc., are appropriate.</t>
  </si>
  <si>
    <t>Can your organization comply with institutional policies on privacy and data protection with regard to users of institutional systems, if required?*</t>
  </si>
  <si>
    <t>Summarize why you will not comply with the institution's IT policy with regards to user privacy and data protection.</t>
  </si>
  <si>
    <t>State that you have reviewed the institution's IT policies with regards to user privacy and data protection.</t>
  </si>
  <si>
    <t>This is a general inquiry to determine if the solution provider has reviewed the institution's policies and is committed to complying with them.</t>
  </si>
  <si>
    <t>If a solution provider is vague in their response, follow up with direct questions about the institution's policies and ensure the expectation of compliance is clear with the solution provider.</t>
  </si>
  <si>
    <t>Is your company subject to the institution's geographic region's laws and regulations?*</t>
  </si>
  <si>
    <t>State the country that governs and regulates your company.</t>
  </si>
  <si>
    <t>This is a general inquiry to determine if the solution provider is well-versed in applicable laws and regulations that apply in the institution's region of business operation.</t>
  </si>
  <si>
    <t>If a solution provider is vague in their response, follow up with direct questions about doing business in your state/region/country and any laws that are pertinent to the institution.</t>
  </si>
  <si>
    <t>Can you accommodate encryption requirements using open standards?</t>
  </si>
  <si>
    <t>Do you have a documented systems development life cycle (SDLC)?</t>
  </si>
  <si>
    <t>State any plans to implement an SDLC.</t>
  </si>
  <si>
    <t>Briefly summarize your SDLC or provide a link or attachment.</t>
  </si>
  <si>
    <t>Mature solution lifecycle management can position a solution provider to sufficiently plan, implement, and manage systems that better protect institutional data.</t>
  </si>
  <si>
    <t>Although withdrawn by NIST, the Security Considerations in the Systems Development Life Cycle (SP 800-64r2) document is an excellent resource to provide guidance to solution providers (i.e., set expectations). Follow-up questions to SDLC use will be institution/implementation specific.</t>
  </si>
  <si>
    <t>Do you perform background screenings or multi-state background checks on all employees prior to their first day of work?</t>
  </si>
  <si>
    <t>State plans to implement background check elements into your hiring process.</t>
  </si>
  <si>
    <t>Summarize your background check practices.</t>
  </si>
  <si>
    <t>The use of detective and preventive controls in the hiring process serves a valuable role in protecting institutional data. As these are often HR documented policies, a solution provider should have their practices well-documented and ready for review, upon request.</t>
  </si>
  <si>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</si>
  <si>
    <t>Do you require new employees to fill out agreements and review policies?</t>
  </si>
  <si>
    <t>Summarize why new employees are not required to accept agreements or review policy.</t>
  </si>
  <si>
    <t>Summarize the required agreements and reviewed policies.</t>
  </si>
  <si>
    <t>Setting the expectation of performance and increasing awareness of security-related responsibilities are part of these initial-hiring documents. Oftentimes these agreements and reviews are conducted during orientation for new employees.</t>
  </si>
  <si>
    <t>If a solution provider's practices are not clear, inquire about training requirements for employees, especially the frequency and scope of content.</t>
  </si>
  <si>
    <t>Do you have a documented information security policy?</t>
  </si>
  <si>
    <t>State plans to implement information security policy at your company.</t>
  </si>
  <si>
    <t>Provide a reference to your information security policy or submit documentation with this fully populated HECVAT.</t>
  </si>
  <si>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</si>
  <si>
    <t>If the solution provider does not have an incident response plan, point them to the NIST Computer Security Incident Handling Guide &lt;https://csrc.nist.gov/publications/detail/sp/800-61/rev-2/final&gt;.</t>
  </si>
  <si>
    <t>Are information security principles designed into the product lifecycle?</t>
  </si>
  <si>
    <t>State why security principles are not designed into the product lifecycle.</t>
  </si>
  <si>
    <t>Summarize the information security principles designed into the product lifecycle.</t>
  </si>
  <si>
    <t>Will you comply with applicable breach notification laws?</t>
  </si>
  <si>
    <t>Summarize why you will not comply with applicable breach notification laws.</t>
  </si>
  <si>
    <t>State how quickly the institution will be notified of a data breach or security incident.</t>
  </si>
  <si>
    <t>Do you have an information security awareness program?</t>
  </si>
  <si>
    <t>State plans to implement an information security awareness program.</t>
  </si>
  <si>
    <t>Summarize your information security awareness program.</t>
  </si>
  <si>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</si>
  <si>
    <t>Follow-up inquiries for information security awareness programs will be institution/implementation specific.</t>
  </si>
  <si>
    <t>Is security awareness training mandatory for all employees?</t>
  </si>
  <si>
    <t>State plans to make security awareness training mandatory for all employees.</t>
  </si>
  <si>
    <t>Summarize your security awareness training content and state how frequently employees are required to undergo security awareness training.</t>
  </si>
  <si>
    <t>Do you have process and procedure(s) documented, and currently followed, that require a review and update of the access list(s) for privileged accounts?</t>
  </si>
  <si>
    <t>Describe plans to implement privileged account access list reviews to your environment.</t>
  </si>
  <si>
    <t>Provide a brief summary and the implement review interval.</t>
  </si>
  <si>
    <t>Protecting privileged accounts is crucial to maintaining system integrity in any environment. This question is targeting privilege creep and unmanaged privileged accounts to determine if the solution provider properly manages access control in their application/system environments.</t>
  </si>
  <si>
    <t>Ask the solution provider to summarize their implemented policies and/or procedures.</t>
  </si>
  <si>
    <t>Do you have documented, and currently implemented, internal audit processes and procedures?</t>
  </si>
  <si>
    <t>State plans to document and implement internal audit process and procedure in your environment.</t>
  </si>
  <si>
    <t>Summarize your internal audit processes and procedures.</t>
  </si>
  <si>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</si>
  <si>
    <t>Follow-up inquiries for internal audit processes and procedures will be institution/implementation specific.</t>
  </si>
  <si>
    <t>Does your organization have physical security controls and policies in place?</t>
  </si>
  <si>
    <t>Describe your intent to implement physical security controls and policies.</t>
  </si>
  <si>
    <t>Provide a copy of your physical security controls and policies along with this document (link or attached).</t>
  </si>
  <si>
    <t>This question aims to understand the physical security state of the solution provider's operating environment and whether or not physical assets are appropriately protected.</t>
  </si>
  <si>
    <t>Follow-up inquiries for physical security controls and policies will be institution/implementation specific.</t>
  </si>
  <si>
    <t>Do you have a formal incident response plan?</t>
  </si>
  <si>
    <t>State plans to formalize an incident response plan.</t>
  </si>
  <si>
    <t>Summarize or provide a link to your formal incident response plan.</t>
  </si>
  <si>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</si>
  <si>
    <t>If the solution provider does not have an incident response plan, direct them to the NIST Computer Security Incident Handling Guide &lt;https://csrc.nist.gov/publications/detail/sp/800-61/rev-2/final&gt;.</t>
  </si>
  <si>
    <t>Do you either have an internal incident response team or retain an external team?</t>
  </si>
  <si>
    <t>Describe your timeline for implementing such a process for response and reporting.</t>
  </si>
  <si>
    <t>Summarize your incident response and reporting processes.</t>
  </si>
  <si>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</si>
  <si>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Do you have the capability to respond to incidents on a 24 x 7 x 365 basis?</t>
  </si>
  <si>
    <t>State plans for acquiring internal resources or an external team.</t>
  </si>
  <si>
    <t>Summarize your internal approach or reference your third-party contractor.</t>
  </si>
  <si>
    <t>The incident team structure (internal vs. external), size, and capabilities of a solution provider have a significant impact on their ability to respond to and protect an institution's data. Use the knowledge of this response when evaluating other solution provider statements.</t>
  </si>
  <si>
    <t>If the solution provider does not have an incident response team, direct them to the NIST Computer Security Incident Handling Guide &lt;https://csrc.nist.gov/publications/detail/sp/800-61/rev-2/final&gt;.</t>
  </si>
  <si>
    <t>Do you carry cyber-risk insurance to protect against unforeseen service outages, data that is lost or stolen, and security incidents?</t>
  </si>
  <si>
    <t>State plans to implement coverage in the future or how you can provide breach/liability coverage to the institution without it.</t>
  </si>
  <si>
    <t>Describe the coverage in place for this solution.</t>
  </si>
  <si>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</si>
  <si>
    <t>Are your systems and applications scanned with an authenticated user account for vulnerabilities (that are remediated) prior to new releases?*</t>
  </si>
  <si>
    <t>Describe plans to implement application vulnerability scanning (and remediation) prior to release.</t>
  </si>
  <si>
    <t>Provide a brief description.</t>
  </si>
  <si>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</si>
  <si>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Ask if there are plans to implement these processes. Ask the solution provider to summarize their decision behind not scanning their applications for vulnerabilities prior to release.</t>
  </si>
  <si>
    <t>Will you provide results of application and system vulnerability scans to the institution?*</t>
  </si>
  <si>
    <t>Describe why security scan results will not be provided to the institution.</t>
  </si>
  <si>
    <t>Provide a reference to security scan documentation.</t>
  </si>
  <si>
    <t>If a solution provider is scanning its applications and/or systems, oftentimes an institution will want to review the report, if possible. Preferably, any finding on the reports will have a matching mitigation action.</t>
  </si>
  <si>
    <t>If a solution provider is hesitant to share the report, ask for a summarized version; some insight is better than none.</t>
  </si>
  <si>
    <t>Will you allow the institution to perform its own vulnerability testing and/or scanning of your systems and/or application, provided that testing is performed at a mutually agreed upon time and date?*</t>
  </si>
  <si>
    <t>Provide a brief summary for your response.</t>
  </si>
  <si>
    <t>Provide reference to the process or procedure to set up security testing times and scopes.</t>
  </si>
  <si>
    <t>Many higher education institutions are capable of performing vulnerability assessments and/or penetration testing on their solution providers' infrastructures. This question confirms the possibility of conducting these actions against the solution provider's infrastructure.</t>
  </si>
  <si>
    <t>Follow-up inquiries for vulnerability scanning and penetration testing will be institution/implementation specific.</t>
  </si>
  <si>
    <t>Have your systems and applications had a third-party security assessment completed in the last year?</t>
  </si>
  <si>
    <t>State plans to have your systems and applications assessed by a third party.</t>
  </si>
  <si>
    <t>Provide the results with this document (link or attached), if possible. State the date of the last completed third-party security assessment.</t>
  </si>
  <si>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</si>
  <si>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Ask if there has ever been a vulnerability scan. A short lapse in external assessment validity can be understood (if there is a planned assessment), but a significant time lapse or no scan whatsoever is cause for elevated levels of concern.</t>
  </si>
  <si>
    <t>Do you regularly scan for common web application security vulnerabilities (e.g., SQL injection, XSS, XSRF, etc.)?</t>
  </si>
  <si>
    <t>Ensure that all elements of VULN-05 are clearly stated in your response.</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</si>
  <si>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</si>
  <si>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</si>
  <si>
    <t>Are your systems and applications regularly scanned externally for vulnerabilities?</t>
  </si>
  <si>
    <t>Describe any plans to implement external vulnerability scanning for your applications.</t>
  </si>
  <si>
    <t>Describe your external application vulnerability scanning strategy.</t>
  </si>
  <si>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</si>
  <si>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"no," inquire if there has ever been a vulnerability scan. A short lapse in external assessment validity can be understood (if there is a planned assessment), but a significant time lapse or no scan whatsoever is cause for elevated levels of concern.</t>
  </si>
  <si>
    <t>Do your workforce members receive regular training related to the Health Insurance Portability and Accountability Act (HIPAA) Privacy and Security Rules and the HITECH Act?*</t>
  </si>
  <si>
    <t>Case-specific</t>
  </si>
  <si>
    <t>If REQU-05 is no, populate solution provider answer with B6 in Auto Responses tab</t>
  </si>
  <si>
    <t>Refer to HIPAA regulations documentation for supplemental guidance in this section.</t>
  </si>
  <si>
    <t>HIPAA</t>
  </si>
  <si>
    <t>Refer to HIPAA documentation or your institution's Chief HIPAA Security Officer.</t>
  </si>
  <si>
    <t>Have you identified areas of risk?*</t>
  </si>
  <si>
    <t>Have the relevant policies/plans been tested?*</t>
  </si>
  <si>
    <t>Have you entered into a Business Associate Agreements with all subcontractors who may have access to protected health information (PHI)?*</t>
  </si>
  <si>
    <t>Do you monitor or receive information regarding changes in HIPAA regulations?</t>
  </si>
  <si>
    <t>Has your organization designated HIPAA Privacy and Security officers as required by the rules?</t>
  </si>
  <si>
    <t>Do you comply with the requirements of the Health Information Technology for Economic and Clinical Health Act (HITECH)?</t>
  </si>
  <si>
    <t>Have you conducted a risk analysis as required under the HIPAA Security Rule?</t>
  </si>
  <si>
    <t>Have you taken actions to mitigate the identified risks?</t>
  </si>
  <si>
    <t>Does your application require user and system administrator password changes at a frequency no greater than 90 days?</t>
  </si>
  <si>
    <t>Does your application require users to set their own password after an administrator reset or on first use of the account?</t>
  </si>
  <si>
    <t>Does your application lock out an account after a number of failed login attempts?</t>
  </si>
  <si>
    <t>Does your application automatically lock or log-out an account after a period of inactivity?</t>
  </si>
  <si>
    <t>Are passwords visible in plain text, whether when stored or entered, including service level accounts (i.e., database accounts, etc.)?</t>
  </si>
  <si>
    <t>If the application is institution-hosted, can all service level and administrative account passwords be changed by the institution?</t>
  </si>
  <si>
    <t>Does your application provide the ability to define user access levels?</t>
  </si>
  <si>
    <t>Does your application support varying levels of access to administrative tasks defined individually per user?</t>
  </si>
  <si>
    <t>Does your application support varying levels of access to records based on user ID?</t>
  </si>
  <si>
    <t>Is there a limit to the number of groups to which a user can be assigned?</t>
  </si>
  <si>
    <t>Do accounts used for solution provider-supplied remote support abide by the same authentication policies and access logging as the rest of the system?</t>
  </si>
  <si>
    <t>Does the application log record access including specific user, date/time of access, and originating IP or device?</t>
  </si>
  <si>
    <t>Does the application log administrative activity, such as user account access changes and password changes, including specific user, date/time of changes, and originating IP or device?</t>
  </si>
  <si>
    <t>Do you retain logs for at least as long as required by HIPAA regulations?</t>
  </si>
  <si>
    <t xml:space="preserve">List how long you retain relevant logs. </t>
  </si>
  <si>
    <t>Can the application logs be archived?</t>
  </si>
  <si>
    <t>Can the application logs be saved externally?</t>
  </si>
  <si>
    <t>Do you have a disaster recovery plan and emergency mode operation plan?</t>
  </si>
  <si>
    <t>Can you provide a HIPAA compliance attestation document?</t>
  </si>
  <si>
    <t>Are you willing to enter into a Business Associate Agreement (BAA)?</t>
  </si>
  <si>
    <t>Do your data backup and retention policies and practices meet HIPAA requirements?</t>
  </si>
  <si>
    <t>Do you have a current, executed within the past year, Attestation of Compliance (AoC) or Report on Compliance (RoC)?*</t>
  </si>
  <si>
    <t>If REQU-06 is no, populate solution provider answer with B7 in Auto Responses tab</t>
  </si>
  <si>
    <t>Refer to PCI DSS Security Standards for supplemental guidance in this section</t>
  </si>
  <si>
    <t>PCI DSS</t>
  </si>
  <si>
    <t>Refer to PCI DSS documentation or your institution's treasurer's office.</t>
  </si>
  <si>
    <t>Is the application listed as an approved Payment Application Data Security Standard (PA-DSS) application?*</t>
  </si>
  <si>
    <t>Does the system or solutions use a third party to collect, store, process, or transmit cardholder (payment/credit/debt card) data?*</t>
  </si>
  <si>
    <t>Do your systems or solutions store, process, or transmit cardholder (payment/credit/debt card) data?</t>
  </si>
  <si>
    <t>Are you compliant with the Payment Card Industry Data Security Standard (PCI DSS)?</t>
  </si>
  <si>
    <t>Are you classified as a service provider?</t>
  </si>
  <si>
    <t>Are you on the list of Visa approved service providers?</t>
  </si>
  <si>
    <t>Are you classified as a merchant? If so, what level (1, 2, 3, 4)?</t>
  </si>
  <si>
    <t>Describe the architecture employed by the system to verify and authorize credit card transactions.</t>
  </si>
  <si>
    <t>What payment processors/gateways does the system support?</t>
  </si>
  <si>
    <t>Can the application be installed in a PCI DSS–compliant manner?</t>
  </si>
  <si>
    <t>Include documentation describing the system's abilities to comply with the PCI DSS and any features or capabilities of the system that must be added or changed in order to operate in compliance with the standards.</t>
  </si>
  <si>
    <t>Do you support role-based access control (RBAC) for system administrators?</t>
  </si>
  <si>
    <t>If REQU-07 is no, populate solution provider answer with B8 in Auto Responses tab</t>
  </si>
  <si>
    <t>Describe any limitations to your roles-based approach.</t>
  </si>
  <si>
    <t>Describe your RBAC.</t>
  </si>
  <si>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</si>
  <si>
    <t>Ask the solution provider to summarize the best practices for securing their system(s) administratively without the use of RBAC. Make sure to understand the administrative requirements/overhead introduced in the solution provider's environment.</t>
  </si>
  <si>
    <t>Can your employees access customer systems remotely?</t>
  </si>
  <si>
    <t>Describe the tools and technical controls implemented to secure remote access.</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</si>
  <si>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</si>
  <si>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Ask the solution provider to summarize the reasoning behind this business process and request additional documentation that outlines the security controls implemented to safeguard institutional data.</t>
  </si>
  <si>
    <t>Can you provide overall system and/or application architecture diagrams including a full description of the data communications architecture for all components of the system?</t>
  </si>
  <si>
    <t>State any plans to provide system and/or application architecture diagrams.</t>
  </si>
  <si>
    <t>Provide a reference to the requested documents or provide them when submitting this fully populated HECVAT.</t>
  </si>
  <si>
    <t>Many systems can be used a variety of ways. We want these implementation type diagrams so that we can understand the "real" use of the solution.</t>
  </si>
  <si>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</si>
  <si>
    <t>Do you require remote management of the system?</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</si>
  <si>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</si>
  <si>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If you answered "yes" to OPEM-04, are your remote actions and changes logged or otherwise visible to the campus?</t>
  </si>
  <si>
    <t>Describe how these logs are made available.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</si>
  <si>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</si>
  <si>
    <t>If a weak response is given to this answer, it is appropriate to ask directed answers to get specific information. Ensure that questions are targeted to ensure responses will come from the appropriate party within the solution provider.</t>
  </si>
  <si>
    <t>If you maintain remote access to the system, will you handle data in a FERPA-compliant manner?</t>
  </si>
  <si>
    <t>State plans to handle data in a FERPA-compliant manner.</t>
  </si>
  <si>
    <t>Describe how FERPA compliance is integrated into your process and procedures.</t>
  </si>
  <si>
    <t>This is standard documentation, relevant to institution implementations requiring FERPA compliance.</t>
  </si>
  <si>
    <t>Follow-up inquiries for FERPA compliance details will be institution/implementation specific.</t>
  </si>
  <si>
    <t>Do you support campus status monitoring through SNMPv3 or other means?</t>
  </si>
  <si>
    <t>Describe your plans to support monitoring.</t>
  </si>
  <si>
    <t>Please describe your monitoring support.</t>
  </si>
  <si>
    <t>Standard documentation question. With an on-premise device, the possibility to tie-in with existing monitoring/management systems is beneficial. The solution provider's response should be clear and concise.</t>
  </si>
  <si>
    <t>Follow-up inquiries for monitoring via SNMPv3 will be institution/implementation specific.</t>
  </si>
  <si>
    <t>Describe or provide a reference to any other safeguards used to monitor for malicious activity.</t>
  </si>
  <si>
    <t>Please detail your monitoring strategy</t>
  </si>
  <si>
    <t>This question is primarily focused on system(s) integrity and confidentiality. The solution provider's response should clearly state the system(s) capabilities to properly monitor for (and alert for) malicious activity.</t>
  </si>
  <si>
    <t>Follow-up inquiries for system monitoring will be institution/implementation specific.</t>
  </si>
  <si>
    <t>Describe how long your organization has conducted business in this area.</t>
  </si>
  <si>
    <t>Include the number of years and in what capacity.</t>
  </si>
  <si>
    <t>We want to establish longevity of a solution and whether or not a solution provider is new to the higher education space.</t>
  </si>
  <si>
    <t>Normally a solution provider will state their overall longevity but not talk about the software/service/product under evaluation. Follow-ups includes specific questions about the origins of the software/service/product and references will be requested.</t>
  </si>
  <si>
    <t>Do you have existing higher education customers?</t>
  </si>
  <si>
    <t>State your primary industry.</t>
  </si>
  <si>
    <t>Provide a list of higher education references, with contact information.</t>
  </si>
  <si>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</si>
  <si>
    <t>A simple "yes" without any references or supporting information should be questioned. Question the size of institutions that are using the solution and the scope of their implementations.</t>
  </si>
  <si>
    <t>Does your solution process FERPA-related data?</t>
  </si>
  <si>
    <t>FERPA-related data includes any data maintained by (or on behalf of) the institution that is directly related to an identifiable student.</t>
  </si>
  <si>
    <t>Provide documentation on the types of FERPA data you process and for what purpose, including data unrelated to service delivery such as marketing.</t>
  </si>
  <si>
    <t>This question will help the institution gain an understanding of the types of data processed by this product or service.</t>
  </si>
  <si>
    <t>Will data be re-disclosed and/or used for any purpose other than directly providing the service, including quality assurance or marketing?</t>
  </si>
  <si>
    <t>Does your solution process GDPR-related or PIPL-related data?</t>
  </si>
  <si>
    <t>GDPR data includes any data related to an identified or identifiable natural person physically located in the European Economic Area (EEA).
PIPL-related data includes any personal data related to an identified or identifiable person located in the People's Republic of China (PRC)</t>
  </si>
  <si>
    <t>Provide documentation of any processes or policies that address compliance with GDPR and/or PIPL as appropriate.</t>
  </si>
  <si>
    <t>Does your solution process personal data regulated by state law(s) (e.g., CCPA)?</t>
  </si>
  <si>
    <t>Provide documentation of any processes or policies that address compliance with applicable state laws.</t>
  </si>
  <si>
    <t>Does your solution process user-provided data that may contain regulated information?</t>
  </si>
  <si>
    <t>Identify any applicable regulations and provide documentation of any processes or policies that address compliance with each.</t>
  </si>
  <si>
    <t>Web Link to Product/Service Privacy Notice</t>
  </si>
  <si>
    <t>If multiple notices are implicated, provide all that apply. If any other documents are incorporated by reference, provide them as well.</t>
  </si>
  <si>
    <t>To ensure transparency and verify the vendor provides accessible privacy documentation that institutions can review and share with stakeholders.</t>
  </si>
  <si>
    <t>Please provide the direct URL to your privacy policy and confirm how frequently it is reviewed and updated.</t>
  </si>
  <si>
    <t>Have you had a personal data breach in the past three years that involved reporting to a governmental agency, notice to individuals (including voluntary notice), or notice to another organization or institution?*</t>
  </si>
  <si>
    <t>Please provide details as to the nature of the breach and the remediation conducted.</t>
  </si>
  <si>
    <t>Having a previous data breach can indicate a level of risk that will indicate that the institution should further investigate changes made after the breach.</t>
  </si>
  <si>
    <t>Use this area to share information about your privacy practices that will assist those who are assessing your company data privacy program.*</t>
  </si>
  <si>
    <t>Share any additional details that would help data privacy analysts assess your solution.</t>
  </si>
  <si>
    <t>To gather voluntary disclosures that provide additional context beyond required responses, helping assessors understand the vendor's privacy culture and proactive commitment to data protection.</t>
  </si>
  <si>
    <t>Have you had any violations of your internal privacy policies or violations of applicable privacy law in the past 36 months?</t>
  </si>
  <si>
    <t xml:space="preserve">Provide documentation about the nature of the violation(s) and any remediative action taken.
</t>
  </si>
  <si>
    <t>This question solicits information about internal privacy policy violations and/or violations of applicable privacy law in the past three years.</t>
  </si>
  <si>
    <t>Do you have a dedicated data privacy staff or office?</t>
  </si>
  <si>
    <t>This can include another office, such as information security, dedicated to privacy protection.</t>
  </si>
  <si>
    <t>Describe who is responsible for data privacy, including department, size, talents, resources, etc.</t>
  </si>
  <si>
    <t>Describe your data privacy office, including size, talents, resources, etc.</t>
  </si>
  <si>
    <t>Any solution provider processing protected student data should have resources/staff dedicated to the protection of the data.</t>
  </si>
  <si>
    <t>If you have completed a SOC 2 audit, does it include the Privacy Trust Service Principle?</t>
  </si>
  <si>
    <t>SOC 2 Type II audits can be conducted for any or all of five trust principles (confidentiality, integrity, availability, security, and privacy). Answer "yes" if your audit included the privacy principle.</t>
  </si>
  <si>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</si>
  <si>
    <t>Please indicate whether your organization will allow clients to review current SOC 2 Type II reports and, if so, how the reports will be made available in a timely manner.</t>
  </si>
  <si>
    <t>This is specifically asking for the Privacy Trust Service Principle, which is not always included in a SOC 2 audit.</t>
  </si>
  <si>
    <t>Do you conform with a specific industry-standard privacy framework (e.g., NIST Privacy Framework, GDPR, ISO 27701)?</t>
  </si>
  <si>
    <t>Standard privacy frameworks help organizations enhance data protection, mitigate privacy risks, and demonstrate compliance with appropriate industry and regulatory standards. This is particularly important when providing services in different jurisdictions.</t>
  </si>
  <si>
    <t>Please provide any plans to conform with one or more of the industry-standard frameworks, including anticipated timelines, and indicate which framework(s) will be used.</t>
  </si>
  <si>
    <t>Indicate which framework(s) are followed; provide documentation on how your organization conforms to your chosen framework(s) and indicate current certification levels, where appropriate.</t>
  </si>
  <si>
    <t>Conformance with industry privacy frameworks can demonstrate an organization's privacy posture and can provide clients a sense of comfort as to the organization's commitment to protection of personal data.</t>
  </si>
  <si>
    <t>If the organization relies on more than one framework or only on portions of a framework, has this been mapped to the Security Controls Framework? If so, please provide a copy of the mapping used.</t>
  </si>
  <si>
    <t>Does your employee onboarding and offboarding policy include training of employees on information security and data privacy?</t>
  </si>
  <si>
    <t>Please provide any plans to develop and implement appropriate employee training as part of onboarding and offboarding.
If no plans currently exist, please provide information on any compensating measures your organization takes to address this issue.</t>
  </si>
  <si>
    <t>Provide an overview of your organization's relevant onboarding/offboarding policy and employee training on information security and privacy.</t>
  </si>
  <si>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t>
  </si>
  <si>
    <t>If training is provided to specific employee groups only, please provide information as to which groups and an overview of the training for each group.</t>
  </si>
  <si>
    <t>Do you have contractual agreements with third parties that require them to maintain standards and to comply with all regulatory requirements?*</t>
  </si>
  <si>
    <t>Inclusion of language in contractual agreements ensures third parties are aware of and have agreed to their obligations to maintain standards and comply with all regulatory requirements in regards to protection of personal data they handle on behalf of your organization.</t>
  </si>
  <si>
    <t>State your plans to ensure appropriate language is included in new and renewed contracts. State how your organization ensures that third parties maintain standards and comply with all regulatory requirements without contractual agreements to do so.</t>
  </si>
  <si>
    <t>Provide a summary of the contractual language used and your processes for ensuring appropriate language is regularly reviewed and is included in both new and renewed agreements.</t>
  </si>
  <si>
    <t>Inclusion of language in contractual agreements ensures third parties are aware of and have agreed to their obligations to maintain standards and comply with all regulatory requirements in regards to protection of personal data they handle on behalf of the organization.</t>
  </si>
  <si>
    <t>Do you perform privacy impact assessments of third parties that collect, process, or have access to personal data to ensure they meet industry and regulatory standards and to mitigate harmful, unethical, or discriminatory impacts on data subjects?</t>
  </si>
  <si>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</si>
  <si>
    <t>State your plans to perform data privacy assessments of third parties, including anticipated timelines and remediations if existing third parties cannot maintain or ensure privacy and security of client data entrusted to your organization.</t>
  </si>
  <si>
    <t>Provide a summary of your practices that assures that the third party will be subject to the appropriate standards regarding data privacy.</t>
  </si>
  <si>
    <t>The organization providing a product or service cannot reasonably claim it appropriately protects privacy of information entrusted to it if it relies on third parties or subprocessors that do not likewise meet or exceed the claimed levels of protection.</t>
  </si>
  <si>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</si>
  <si>
    <t>Does your change management process include privacy review and approval?</t>
  </si>
  <si>
    <t>The change management process minimizes disruption and maximizes benefits and should contain a privacy review process.</t>
  </si>
  <si>
    <t>Please describe your process for privacy review.</t>
  </si>
  <si>
    <t>It is important that change management not overlook any privacy considerations.</t>
  </si>
  <si>
    <t>If the answer is yes, describe the process; if the answer is no, describe plans to implement.</t>
  </si>
  <si>
    <t>Do you have policy and procedure, currently implemented, guiding how privacy risks are mitigated until they can be resolved?</t>
  </si>
  <si>
    <t>Policy and procedure should include specific steps to take in the process of mitigating privacy risks.</t>
  </si>
  <si>
    <t>Please provide an overview of privacy risk mitigation.</t>
  </si>
  <si>
    <t>It is important to have a procedure in place to mitigate privacy risks as they come up.</t>
  </si>
  <si>
    <t>Do you collect, process, or store demographic information?*</t>
  </si>
  <si>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</si>
  <si>
    <t>Describe which demographic information you handle and the source of the requirements, if applicable.</t>
  </si>
  <si>
    <t>This data can be included in data sets that are deidentified but is sensitive data that could be reidentified if paired with other data points.</t>
  </si>
  <si>
    <t>Because of the nature of such data, it is important to have a full understanding of how the data is used and protected.</t>
  </si>
  <si>
    <t>Do you capture or create genetic, biometric, or behaviometric information (e.g., facial recognition or fingerprints)?*</t>
  </si>
  <si>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</si>
  <si>
    <t>Briefly summarize your use of such information and the protection thereof.</t>
  </si>
  <si>
    <t>Do you combine institutional data (including "de-identified," "anonymized," or otherwise masked data) with personal data from any other sources?*</t>
  </si>
  <si>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</si>
  <si>
    <t>Describe the other sources and provide a list of elements, including any keys that connect the datasets.</t>
  </si>
  <si>
    <t>To identify potential re-identification risks and ensure the vendor doesn't merge institutional data with external datasets in ways that could compromise privacy protections or violate data use restrictions.</t>
  </si>
  <si>
    <t>If yes, describe what types of external data sources are combined with institutional data and for what purposes.</t>
  </si>
  <si>
    <t>Is institutional data coming into or going out of the United States at any point during collection, processing, storage, or archiving?</t>
  </si>
  <si>
    <t>Given the vast number of privacy regulations and laws throughout the world, it is important to know when, where, why, and how institutional data is being shared outside the United States. This information is necessary to ensure compliance and to protect the institutional data.</t>
  </si>
  <si>
    <t>Describe where and whether you comply with the laws of that jurisdiction.</t>
  </si>
  <si>
    <t>To assess cross-border data transfer risks and ensure compliance with international privacy regulations including GDPR, data localization requirements, and data sovereignty considerations.</t>
  </si>
  <si>
    <t>If yes, identify which countries data flows to/from and what safeguards are in place (e.g., Standard Contractual Clauses, adequacy decisions).</t>
  </si>
  <si>
    <t>Do you capture device information (e.g., IP address, MAC address)?</t>
  </si>
  <si>
    <t>Device information can be captured for a variety of reasons, from analytics to marketing to network management and security. It is important to know the details in order to be clear on the privacy implications.</t>
  </si>
  <si>
    <t>Describe what information you collect and the reason for collecting it.</t>
  </si>
  <si>
    <t>This question can clarify whether there are any indirect identifiers that don't appear to be readily identifiable but that could be identifiable in the event of unauthorized access or use.</t>
  </si>
  <si>
    <t>Does any part of this service/project involve a web/app tracking component (e.g., use of web-tracking pixels, cookies)?</t>
  </si>
  <si>
    <t>Web tracking can be used to identify users via their IP address, login information, browser information, etc.</t>
  </si>
  <si>
    <t>Describe the tracking component and what is done with the information.</t>
  </si>
  <si>
    <t>Does your staff (or a third party) have access to institutional data (e.g., financial, PHI, or other sensitive information) through any means?</t>
  </si>
  <si>
    <t>Accessing institutional data may be necessary for legitimate business purposes.</t>
  </si>
  <si>
    <t>Summarize the access that staff (or third parties) have to institutional data.</t>
  </si>
  <si>
    <t>Institutional data may be sensitive in nature and should only be accessed for legitimate business purposes.</t>
  </si>
  <si>
    <t>Will you handle personal data in a manner compliant with all relevant laws, regulations, and applicable institution policies?</t>
  </si>
  <si>
    <t>If no, why not? Are there plans for this to be implemented and, if so, when?</t>
  </si>
  <si>
    <t>Personal data that is handled improperly or against law/regulation can have significant negative impact.</t>
  </si>
  <si>
    <t>Do you have a documented privacy management process?</t>
  </si>
  <si>
    <t>Are there plans to implement? If so, when will this be completed?</t>
  </si>
  <si>
    <t>Describe privacy management process or provide links or attach documentation.</t>
  </si>
  <si>
    <t>It's important for customers to know their data will remain private after being shared with the vendor.</t>
  </si>
  <si>
    <t>Are your internal privacy practices and obligations documented in internal corporate privacy policy/policies? Does the internal privacy policy explain your organization's policies and practices regarding collection of personal information and other data about individuals?</t>
  </si>
  <si>
    <t>Are privacy principles designed into the product lifecycle (i.e., privacy-by-design)?</t>
  </si>
  <si>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</si>
  <si>
    <t>State why principles are not designed into the product lifecycle.</t>
  </si>
  <si>
    <t>Summarize the privacy principles designed into the product lifecycle.</t>
  </si>
  <si>
    <t>Building privacy principles into the product lifecycle (e.g., privacy-by-design) can help ease the privacy management process.</t>
  </si>
  <si>
    <t>Provide reason for not complying.</t>
  </si>
  <si>
    <t>State how quickly the institution will be notified once a breach is identified, in addition to notifying the necessary governmental agencies based on the extent of the breach.</t>
  </si>
  <si>
    <t>It's very important to get out in front of the impact from a system breach. Once a breach has been confirmed, timely communication is imperative.</t>
  </si>
  <si>
    <t>This is usually dictated by the government agency for the geographic region and, possibly, by your cybersecurity insurance carrier.</t>
  </si>
  <si>
    <t>Will you comply with the institution's policies regarding user privacy and data protection?</t>
  </si>
  <si>
    <t>These policies may include specific user consent practices, data classification standards, and handling of sensitive information.</t>
  </si>
  <si>
    <t>Explain the legal or operational reasons and offer an alternative policy.</t>
  </si>
  <si>
    <t>This question can help gauge a solution provider's willingness to align with institutional data privacy and protection policies before the contracting stage.</t>
  </si>
  <si>
    <t>Do any parts of your institutional policy conflict with the solution provider's standard practices?</t>
  </si>
  <si>
    <t>Is your company subject to the laws and regulations of the institution's geographic region?</t>
  </si>
  <si>
    <t>Indicates whether your organization is legally bound by state, federal, or local laws where the institution operates.</t>
  </si>
  <si>
    <t>Explain why your operations fall outside the region’s legal scope and how you nevertheless ensure regulatory compliance.</t>
  </si>
  <si>
    <t>This question identifies whether the institution and solution provider are beholden to the same laws. If not, this should be covered in the contract.</t>
  </si>
  <si>
    <t>Which laws apply to your operations in institution's region? Where is institutional data processed or stored? Provide a link or document summarizing your compliance stance.</t>
  </si>
  <si>
    <t>Do you have a privacy awareness/training program?*</t>
  </si>
  <si>
    <t>Privacy awareness/training refers to the ongoing education provided to individuals who handle sensitive data to ensure they understand privacy obligations, data protection principles, and regulatory requirements (e.g., FERPA, HIPAA, GDPR).</t>
  </si>
  <si>
    <t>Describe plans to include data privacy training or why you have determined it is not needed.</t>
  </si>
  <si>
    <t>Briefly describe what is included in the training.</t>
  </si>
  <si>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</si>
  <si>
    <t>Is privacy awareness training mandatory for all employees?</t>
  </si>
  <si>
    <t>Describe plans to require.</t>
  </si>
  <si>
    <t>Your response should include who must complete the training.</t>
  </si>
  <si>
    <t>This question serves a critical purpose in evaluating a vendor or institution’s commitment to data protection, risk mitigation, and regulatory compliance.</t>
  </si>
  <si>
    <t>This question helps assess whether privacy is treated as an organizational responsibility and whether the institution enforces consistent practices to reduce human risk factors.</t>
  </si>
  <si>
    <t>Is AI privacy and ethics awareness/training required for all employees who work with AI?</t>
  </si>
  <si>
    <t>Describe plans to include AI training.</t>
  </si>
  <si>
    <t>This question is intended to assess whether an institution or vendor is proactively managing the risks, responsibilities, and ethical implications of AI use, especially as it relates to sensitive data, autonomy, and fairness.</t>
  </si>
  <si>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</si>
  <si>
    <t>Do you have any decision-making processes that are completely automated (i.e., there is no human involvement)?</t>
  </si>
  <si>
    <t>Examples of such automated decisions could include automatically denying or approving user access requests, flagging or blocking transactions based on risk scores, or AI-driven decisions that affect user outcomes (e.g., eligibility, grading, pricing).</t>
  </si>
  <si>
    <t>Provide information on which decisions are automated and why.</t>
  </si>
  <si>
    <t>This question identifies potential privacy, ethical, security, and compliance risks that may arise from fully automated systems, especially those that affect individuals or their data.</t>
  </si>
  <si>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</si>
  <si>
    <t>Do you have a documented process for managing automated processing, including validations, monitoring, and data subject requests?</t>
  </si>
  <si>
    <t>Describe plans to implement processes in the future.</t>
  </si>
  <si>
    <t>Briefly describe processes.</t>
  </si>
  <si>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</si>
  <si>
    <t>Do you have a documented policy for sharing information with law enforcement?</t>
  </si>
  <si>
    <t>Explain any plans to develop a policy. If no plans exist, explain why not.</t>
  </si>
  <si>
    <t>Provide a high-level overview of the policy or plans to implement a policy.</t>
  </si>
  <si>
    <t>The institution should know which laws apply to the data to which the solution provider will have access. You should also have a thorough understanding of how requests from law enforcement will be handled.</t>
  </si>
  <si>
    <t>Do you share any institutional data with law enforcement without a valid warrant or subpoena?*</t>
  </si>
  <si>
    <t>Describe how you ensure this does not occur.</t>
  </si>
  <si>
    <t>Describe the circumstances in which you share with law enforcement.</t>
  </si>
  <si>
    <t>To protect institutional and individual privacy rights by ensuring data is only disclosed to law enforcement through proper legal channels with appropriate due process protections.</t>
  </si>
  <si>
    <t>If yes, under what circumstances and with what documentation/notification to the institution?</t>
  </si>
  <si>
    <t>Does your incident response team include a privacy analyst/officer?</t>
  </si>
  <si>
    <t>Provide an overview of your incident response team membership and its charge, highlighting the privacy analyst/officer.</t>
  </si>
  <si>
    <t>Explain why not</t>
  </si>
  <si>
    <t>Provide the incident response team membership and charge.</t>
  </si>
  <si>
    <t>Having a privacy analyst/officer on an incident response team can help the company more quickly identify a breach and comply with applicable notification laws.</t>
  </si>
  <si>
    <t>Will data be collected from or processed in or stored in the European Economic Area (EEA)?</t>
  </si>
  <si>
    <t>See GDPR Chapter 1, Art. 4, for definitions.</t>
  </si>
  <si>
    <t>Describe where and what activities will take place in the EEA.</t>
  </si>
  <si>
    <t>Understanding whether the vendor processes data in Europe may help with institutional GDPR compliance.</t>
  </si>
  <si>
    <t>If institution's intended use includes targeting of data subjects in EEA/UK and if vendor marks "no," institution might want to follow up to clarify data collected.</t>
  </si>
  <si>
    <t>Do you have a data protection officer (DPO)?</t>
  </si>
  <si>
    <t>See GDPR Chapter 4, Section 4, for DPO information.</t>
  </si>
  <si>
    <t>Provide the name and contact information for the DPO.</t>
  </si>
  <si>
    <t>Vendors targeting services in the EEA/UK should have GDPR-compliant policies and procedures.</t>
  </si>
  <si>
    <t>Will you sign appropriate GDPR Standard Contractual Clauses (SCCs) with the institution?</t>
  </si>
  <si>
    <t>See GDPR Chapter 5, Art. 46, for SCC information.</t>
  </si>
  <si>
    <t>Vendors targeting services in the EEA/UK should have the ability to agree to the SCCs.</t>
  </si>
  <si>
    <t>Will data be collected from or processed in or stored in China?</t>
  </si>
  <si>
    <t>See PIPL Chapter 1 for definitions.</t>
  </si>
  <si>
    <t>Describe where and what activities will take place in China.</t>
  </si>
  <si>
    <t>Understanding whether the vendor processes data in China may help with institutional PIPL compliance.</t>
  </si>
  <si>
    <t>If institution's intended use includes targeting of data subjects in China and if vendor marks "no," institution might want to follow up to clarify data collected.</t>
  </si>
  <si>
    <t>Do you comply with PIPL security, privacy, and data localization requirements?</t>
  </si>
  <si>
    <t>See PIPL Chapter 5 for requirements.</t>
  </si>
  <si>
    <t>Vendors targeting services in China should have the ability to comply with PIPL requirements.</t>
  </si>
  <si>
    <t>Have you performed a Data Privacy Impact Assessment for the solution/project?</t>
  </si>
  <si>
    <t>Provide timeline for this or reason not to perform.</t>
  </si>
  <si>
    <t>Provide copy, link, or summary overview.</t>
  </si>
  <si>
    <t>To verify the vendor has systematically evaluated privacy risks and implemented appropriate safeguards before deploying their solution, demonstrating privacy-by-design principles.</t>
  </si>
  <si>
    <t>Please provide a copy of the DPIA or summary of findings and mitigation measures.</t>
  </si>
  <si>
    <t>Do you provide an end-user privacy notice about privacy policies and procedures that identify the purpose(s) for which personal information is collected, used, retained, and disclosed?</t>
  </si>
  <si>
    <t>Provide link or copy.</t>
  </si>
  <si>
    <t>To ensure transparency with end users about data practices and compliance with privacy notice requirements under FERPA, GDPR, CCPA, and other applicable regulations.</t>
  </si>
  <si>
    <t>How do you inform users of changes to the policy?</t>
  </si>
  <si>
    <t>Do you describe the choices available to the individual and obtain implicit or explicit consent with respect to the collection, use, and disclosure of personal information?</t>
  </si>
  <si>
    <t>N/A is only an acceptable answer if you answered "no" to ALL of the following 7 questions: PRGN-01, 02, 03, 04 and PDAT-01, 02, 03</t>
  </si>
  <si>
    <t>To verify meaningful consent mechanisms exist and users have adequate control over their personal information in accordance with fair information practice principles and regulatory requirements.</t>
  </si>
  <si>
    <t>Describe your consent mechanism and how users can withdraw consent if they choose.</t>
  </si>
  <si>
    <t>Do you collect personal information only for the purpose(s) identified in the agreement with an institution or, if there is none, the purpose(s) identified in the privacy notice?</t>
  </si>
  <si>
    <t>This includes quality assurance, marketing and advertising, etc.</t>
  </si>
  <si>
    <t>Describe purposes not included in an agreement with the institution.</t>
  </si>
  <si>
    <t>N/A is only an acceptable answer if you answered "no" to ALL of the following 7 questions: PRGN-01, 02, 03, 04 and PDAT-01, 02, 04</t>
  </si>
  <si>
    <t>Companies may collect information for purposes not outlined in the service agreement, including quality assurance, marketing, etc. Institutions should have a thorough understanding of what data is being used and how.</t>
  </si>
  <si>
    <t>Do you have a documented list of personal data your service maintains?</t>
  </si>
  <si>
    <t>N/A is only an acceptable answer if you answered "no" to ALL of the following 7 questions: PRGN-01, 02, 03, 04 and PDAT-01, 02, 05</t>
  </si>
  <si>
    <t>To ensure the vendor maintains data inventory records necessary for privacy compliance, breach response, data subject rights requests, and understanding the full scope of data collection.</t>
  </si>
  <si>
    <t>Please provide your data inventory or map showing categories of personal data collected and retention periods.</t>
  </si>
  <si>
    <t>Do you retain personal information for only as long as necessary to fulfill the stated purpose(s) or as required by law or regulation and thereafter appropriately dispose of such information?</t>
  </si>
  <si>
    <t>Briefly outline data retention policies that do not align with regulations.</t>
  </si>
  <si>
    <t>N/A is only an acceptable answer if you answered "no" to ALL of the following 7 questions: PRGN-01, 02, 03, 04 and PDAT-01, 02, 06</t>
  </si>
  <si>
    <t>Data minimization is a basic privacy principle, and it is important to know whether the solution provider is keeping data longer than necessary and introducing a significant privacy risk.</t>
  </si>
  <si>
    <t>Do you provide individuals with access to their personal information for review and update (i.e., data subject rights)?</t>
  </si>
  <si>
    <t>Such processes would include descriptions of request processes individuals can follow to review their information and written processes a data subject may use to ask for changes or corrections to data held about them.</t>
  </si>
  <si>
    <t>N/A is only an acceptable answer if you answered "no" to ALL of the following 7 questions: PRGN-01, 02, 03, 04 and PDAT-01, 02, 07</t>
  </si>
  <si>
    <t>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t>
  </si>
  <si>
    <t>Do you disclose personal information to third parties only for the purpose(s) identified in the privacy notice or with the implicit or explicit consent of the individual?</t>
  </si>
  <si>
    <t>N/A is only an acceptable answer if you answered "no" to ALL of the following 7 questions: PRGN-01, 02, 03, 04 and PDAT-01, 02, 08</t>
  </si>
  <si>
    <t>To limit unauthorized third-party data sharing and ensure transparency about data flows beyond the direct vendor relationship, protecting against unexpected secondary uses.</t>
  </si>
  <si>
    <t>Provide a list of third parties who receive personal information and the purpose for each disclosure.</t>
  </si>
  <si>
    <t>Do you protect personal information against unauthorized access (both physical and logical)?</t>
  </si>
  <si>
    <t>N/A is only an acceptable answer if you answered "no" to ALL of the following 7 questions: PRGN-01, 02, 03, 04 and PDAT-01, 02, 09</t>
  </si>
  <si>
    <t>To verify appropriate security controls are in place to protect personal data from breaches, unauthorized disclosure, and both external and internal threats.</t>
  </si>
  <si>
    <t>Describe your access control mechanisms, encryption methods, and incident response procedures.</t>
  </si>
  <si>
    <t>Do you maintain accurate, complete, and relevant personal information for the purposes identified in the privacy notice?</t>
  </si>
  <si>
    <t>N/A is only an acceptable answer if you answered "no" to ALL of the following 7 questions: PRGN-01, 02, 03, 04 and PDAT-01, 02, 10</t>
  </si>
  <si>
    <t>To ensure data quality practices that prevent privacy harms from inaccurate or outdated personal information, particularly in contexts where data accuracy affects individual rights or opportunities.</t>
  </si>
  <si>
    <t>What processes do you have for individuals to review and correct their personal information?</t>
  </si>
  <si>
    <t>Do you have procedures to address privacy-related noncompliance complaints and disputes?</t>
  </si>
  <si>
    <t>Provide a brief overview of processes or procedures to handle privacy-related complaints.</t>
  </si>
  <si>
    <t>N/A is only an acceptable answer if you answered "no" to ALL of the following 7 questions: PRGN-01, 02, 03, 04 and PDAT-01, 02, 11</t>
  </si>
  <si>
    <t>To verify accountability mechanisms exist for addressing privacy concerns, providing recourse to affected individuals, and demonstrating responsiveness to privacy complaints.</t>
  </si>
  <si>
    <t>Describe your complaint handling process, typical response times, and escalation procedures.</t>
  </si>
  <si>
    <t>Do you "anonymize," "de-identify," or otherwise mask personal data?</t>
  </si>
  <si>
    <t>Briefly describe method used to mask data.</t>
  </si>
  <si>
    <t>N/A is only an acceptable answer if you answered "no" to ALL of the following 7 questions: PRGN-01, 02, 03, 04 and PDAT-01, 02, 12</t>
  </si>
  <si>
    <t>To understand the vendor's approach to privacy-enhancing techniques and assess whether data masking methods are appropriate, effective, and aligned with recognized anonymization standards.</t>
  </si>
  <si>
    <t>Describe your anonymization methodology and any validation or testing performed to ensure re-identification risks are minimized.</t>
  </si>
  <si>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</si>
  <si>
    <t>Describe the reason for using data beyond the agreed purpose.</t>
  </si>
  <si>
    <t>N/A is only an acceptable answer if you answered "no" to ALL of the following 7 questions: PRGN-01, 02, 03, 04 and PDAT-01, 02, 13</t>
  </si>
  <si>
    <t>To prevent secondary use of institutional data that could undermine privacy protections, contradict institutional data governance policies, or enable commercial uses incompatible with educational purposes.</t>
  </si>
  <si>
    <t>If yes, provide details on secondary uses and obtain specific written consent from the institution for these uses.</t>
  </si>
  <si>
    <t>Do you certify stop-processing requests, including any data that is processed by a third party on your behalf?</t>
  </si>
  <si>
    <t>Provide evidence of existing processes or policies. The internal privacy policy should explain your organization's policies and practices regarding the collection of personal information and other data about individuals.</t>
  </si>
  <si>
    <t>Briefly outline relevant processes.</t>
  </si>
  <si>
    <t>N/A is only an acceptable answer if you answered "no" to ALL of the following 7 questions: PRGN-01, 02, 03, 04 and PDAT-01, 02, 14</t>
  </si>
  <si>
    <t>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</si>
  <si>
    <t>If your organization has exchange programs or does business with global organizations or organizations located outside the United States, depending on the services sought, your institution should determine whether this is a requirement.</t>
  </si>
  <si>
    <t>Do you have a process to review code for ethical considerations?</t>
  </si>
  <si>
    <t>Provide documentation or explanation of the process to review code. If none exists, explain why.</t>
  </si>
  <si>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</si>
  <si>
    <t>Does your service use AI for the processing of institutional data?</t>
  </si>
  <si>
    <t>If REQU-04 is no, populate solution provider answer with B5 in Auto Responses tab</t>
  </si>
  <si>
    <t>Review the vendor’s explanation for completeness and alignment with institutional data governance policies. Follow up on vague or incomplete answers. If AI use is planned, ask them to note the expected scope.</t>
  </si>
  <si>
    <t>Describe how your service uses AI to process institutional data. Include the types of data involved, the purpose of AI usage, and any decision-making roles AI plays.</t>
  </si>
  <si>
    <t>To identify AI-related privacy risks including potential bias, unintended disclosures, lack of explainability in automated decision-making, and training data provenance concerns.</t>
  </si>
  <si>
    <t>Ask for documentation or a summary of how AI models are developed or used, including training data sources and whether outputs are reviewed by humans.</t>
  </si>
  <si>
    <t>Is any institutional data retained in AI processing?*</t>
  </si>
  <si>
    <t>Evaluate the vendor's data retention practices for compliance with institutional policies. Request clarification on retention periods and data security if needed.</t>
  </si>
  <si>
    <t>Specify what data is retained, for how long, and how it is protected.</t>
  </si>
  <si>
    <t>This question assesses whether institutional data is stored or retained during AI processing, which may have implications for data security, retention policies, and regulatory compliance.</t>
  </si>
  <si>
    <t>Ask for retention schedules, anonymization steps, and whether storage is temporary or permanent. Request a data flow diagram if available.</t>
  </si>
  <si>
    <t>Do you have agreements in place with third parties or subprocessors regarding the protection of customer data and use of AI?*</t>
  </si>
  <si>
    <t>Explain the absence of agreements and indicate whether any are under development or negotiation.</t>
  </si>
  <si>
    <t>List all subprocessors and describe the agreements in place regarding AI and data protection.</t>
  </si>
  <si>
    <t>It's important to ensure that third-party vendors or subprocessors involved in AI processing are contractually bound to protect institutional data and comply with privacy standards.</t>
  </si>
  <si>
    <t>Request copies or summaries of data protection agreements with subprocessors. Ask whether subprocessors are listed publicly and how they are vetted.</t>
  </si>
  <si>
    <t>Will institutional data be processed through a third party or subprocessor that also uses AI?</t>
  </si>
  <si>
    <t>Confirm whether third-party AI use occurs. Ensure that oversight and contractual protections are in place. Clarify any unclear relationships.</t>
  </si>
  <si>
    <t>Identify third-party AI processors and describe their role and safeguards.</t>
  </si>
  <si>
    <t>This question identifies whether institutional data is shared with or processed by third parties that use AI, which may introduce additional privacy or ethical considerations.</t>
  </si>
  <si>
    <t>Ask for a list of third parties involved in AI processing and their roles. Inquire about oversight mechanisms and whether data is shared across jurisdictions.</t>
  </si>
  <si>
    <t>Is AI processing limited to fully licensed commercial enterprise AI services?</t>
  </si>
  <si>
    <t>Provide names of services used and license types. Note whether open-source or experimental tools are used.</t>
  </si>
  <si>
    <t>In most cases, only enterprise licenses allow for an organization to customize what data is collected and how it is used. Free licenses to AI tools could introduce a risk to data.</t>
  </si>
  <si>
    <t>Request proof of licensing or vendor agreements for AI tools. Ask whether open-source or beta tools are used and how they are evaluated for risk.</t>
  </si>
  <si>
    <t>Will institutional data be used or processed by any shared AI services?</t>
  </si>
  <si>
    <t>Provide detailed response to the type of data needed for the AI service to function appropriately, the sources of the data, and whether any data shared with the AI service comes from data sources outside the institution.</t>
  </si>
  <si>
    <t>Use of AI services and tools runs a risk of being supported by bad batches or databanks of information. Additionally, harmful bias and other data-quality issues can affect AI system trustworthiness, which could lead to negative impacts.</t>
  </si>
  <si>
    <t>Do you have safeguards in place to protect institutional data and data privacy from unintended AI queries or processing?</t>
  </si>
  <si>
    <t>Explain any data minimization processes used to exclude institutional data from AI algorithm or training, etc.</t>
  </si>
  <si>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</si>
  <si>
    <t>Do you provide choice to the user to opt out of AI use?</t>
  </si>
  <si>
    <t>Provide the language used for a user to opt-out or consent to the use of AI</t>
  </si>
  <si>
    <t>To ensure user autonomy regarding AI processing of their data and compliance with emerging AI transparency requirements and ethical principles around algorithmic decision-making.</t>
  </si>
  <si>
    <t>Describe the opt-out mechanism and any limitations or service impacts if a user opts out of AI processing.</t>
  </si>
  <si>
    <t>Does your solution leverage machine learning (ML) or do you plan to do so in the next 12 months?</t>
  </si>
  <si>
    <t>Answer "yes" even if you do not create your own machine learning solutions, and answer the questions as they apply to your contractual relationship with the third party you utilize.</t>
  </si>
  <si>
    <t>DO NOT complete the Machine Learning section (AIML)</t>
  </si>
  <si>
    <t>DO complete the Machine Learning section (AIML)</t>
  </si>
  <si>
    <t>Does your solution leverage a large language model (LLM) or do you plan to do so in the next 12 months?</t>
  </si>
  <si>
    <t>Answer "yes" even if you do not train your own LLM models, and answer the questions as they apply to your contractual relationship with the third party you utilize.</t>
  </si>
  <si>
    <t>DO NOT complete the Large Language Model section (AILM)</t>
  </si>
  <si>
    <t>DO complete the Large Language Model section (AILM)</t>
  </si>
  <si>
    <t>Does your solution have an AI risk model when developing or implementing your solution's AI model?*</t>
  </si>
  <si>
    <t>Examples include NIST AI RMF, OWASP Top 10, RAFT, and MITRE ATLAS.</t>
  </si>
  <si>
    <t>Describe your current AI risk management strategy. Provide a timeline for implementation of an AI risk framework, model, or methodology.</t>
  </si>
  <si>
    <t>Provide the AI risk framework, model, or methodology used.</t>
  </si>
  <si>
    <t>To ensure the vendor has proactive governance and has a defined, documented risk management strategy that is aligned with responsible AI.</t>
  </si>
  <si>
    <t>Can the AI risk model or framework in use be shared? How often is it reviewed and updated? If an AI framework is not in use, what practices are currently used to address AI risks?</t>
  </si>
  <si>
    <t>Can your solution's AI features be disabled by tenant and/or user?*</t>
  </si>
  <si>
    <t>Provide alternate workflows to disable AI features. Describe plans to include control of AI features.</t>
  </si>
  <si>
    <t>Describe the level of AI feature control at the institutional and user level.</t>
  </si>
  <si>
    <t>N/A is only an acceptable answer if AI is the core function of your product.</t>
  </si>
  <si>
    <t>To verify whether customers have control over AI features and can opt out when AI is not desired or creates compliance concerns.</t>
  </si>
  <si>
    <t>How easy is it to disable/enable AI features?</t>
  </si>
  <si>
    <t>Have your staff completed responsible AI training?*</t>
  </si>
  <si>
    <t>Explain what alternative responsible AI awareness activities are in place, including whether future training is planned.</t>
  </si>
  <si>
    <t>Provide the following details about your responsible AI training program: learning objectives, frequency, alignment with standards (e.g., NIST), and who is required to complete the training.</t>
  </si>
  <si>
    <t>To confirm that staff are educated on ethical AI principles, data stewardship, bias mitigation, and compliance, ensuring responsible use and support for customers.</t>
  </si>
  <si>
    <t>Clarify the structure and enforcement of training supports transparency and accountability in AI-related operations.</t>
  </si>
  <si>
    <t>Please describe the capabilities of your solution's AI features.</t>
  </si>
  <si>
    <t>Describe capabilities such as content (text, image, audio, speech, video, or code) generation, visual interpretation, and predictive analytics. This encompasses all AI implementations, including third-party AI features. Clarify use cases or limits of the model.</t>
  </si>
  <si>
    <t>To help institutions understand the scope, functionality, and intended use cases of the AI feature(s) and evaluate whether its capabilities align with institutional needs and risk tolerance.</t>
  </si>
  <si>
    <t>Can documentation of supported AI functions, limitations, and safeguards be provided?</t>
  </si>
  <si>
    <t>Does your solution support business rules to protect sensitive data from being ingested by the AI model?</t>
  </si>
  <si>
    <t>Provide compensating controls for data loss prevention (DLP) as it relates to the inputs and outputs of your AI features. Include a timeline for implementing DLP for your AI features.</t>
  </si>
  <si>
    <t>Provide data loss prevention (DLP) features as they relate to your AI offerings. Indicate whether these DLP rules are configurable at the institutional and/or user level.</t>
  </si>
  <si>
    <t>To determine the risk of sensitive data exposure from AI feature inputs and outputs.</t>
  </si>
  <si>
    <t>Can you provide examples of data loss prevention (DLP) features? Where are these DLP solutions implemented? Are these DLP features customizable?</t>
  </si>
  <si>
    <t>Are your AI developer's policies, processes, procedures, and practices across the organization related to the mapping, measuring, and managing of AI risks conspicuously posted, unambiguous, and implemented effectively?*</t>
  </si>
  <si>
    <t>Describe the steps your developers take to manage AI risks. Include a timeline for implementing policy and procedures for managing AI specific risks.</t>
  </si>
  <si>
    <t>To ensure that the vendor has established a mature AI governance framework, is prepared to manage the complex and evolving risks of AI, and is not likely to transfer that risk directly to customers.</t>
  </si>
  <si>
    <t>Given that a lack of formal governance can expose our institution to significant legal and reputational risks, how can you assure us that partnering with you will not transfer these liabilities to our organization?</t>
  </si>
  <si>
    <t>Have you identified and measured AI risks?*</t>
  </si>
  <si>
    <t>Provide a timeline for performing an AI specific risk assessment. Describe your plan for identifying and measuring AI risk in the future.</t>
  </si>
  <si>
    <t>Provide the standard or framework used to identify and measure AI risk.</t>
  </si>
  <si>
    <t>To help an organization verify that the vendor has a mature, proactive risk management framework in place, which is essential to protect the organization from the legal, financial, and reputational liabilities that can arise from a poorly governed AI system.</t>
  </si>
  <si>
    <t>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t>
  </si>
  <si>
    <t>In the event of an incident, can your solution's AI features be disabled in a timely manner?*</t>
  </si>
  <si>
    <t>Provide a timeline for institutions to have the capability to disable AI features in the event of an incident.</t>
  </si>
  <si>
    <t>Provide documentation on how to disable AI features. Include a time estimate for the time between disabling the feature and when the feature is inaccessible to users.</t>
  </si>
  <si>
    <t>The ability to disable/enable AI features is essential for containing an incident and preventing a security or ethical failure.</t>
  </si>
  <si>
    <t>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t>
  </si>
  <si>
    <t>If disabled because of an incident, can your solution's AI features be re-enabled in a timely manner?*</t>
  </si>
  <si>
    <t>Provide a timeline for institutions to have the capability to enable AI features in the event of an incident recovery.</t>
  </si>
  <si>
    <t>Provide documentation on how to enable AI features. Include a time estimate for the time between enabling the feature and when the feature is accessible to users.</t>
  </si>
  <si>
    <t>This helps an organization create a business continuity plan and incident recovery plan.</t>
  </si>
  <si>
    <t>Do you have documented technical and procedural processes to address potential negative impacts of AI as described by the AI Risk Management Framework (RMF)?</t>
  </si>
  <si>
    <t>Responsible AI development per NIST AI RMF, page 25.</t>
  </si>
  <si>
    <t>Describe your plan and timeline for implementing technical and procedural processes to mitigate negative impacts of AI, as defined by the NIST AI RMF.</t>
  </si>
  <si>
    <t>This question helps maximize the value of the AI feature(s) while minimizing the negative impacts of AI.</t>
  </si>
  <si>
    <t>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t>
  </si>
  <si>
    <t>If sensitive data is introduced to your solution's AI model, can the data be removed from the AI model by request?*</t>
  </si>
  <si>
    <t>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t>
  </si>
  <si>
    <t>If data removal or unlearning is not supported, explain why and describe compensating controls (e.g., filtering, short-term memory, differential privacy). Clarify how sensitive data is managed, and note any future plans to support deletion requests.</t>
  </si>
  <si>
    <t>Describe how the AI model supports data deletion or unlearning and whether it is manual or automated; include retention timelines, limitations, and how requests are handled. Reference compliance with FERPA, GDPR Article 17, and state privacy laws.</t>
  </si>
  <si>
    <t>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t>
  </si>
  <si>
    <t>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t>
  </si>
  <si>
    <t>Is user input data used to influence your solution's AI model?*</t>
  </si>
  <si>
    <t>Please answer based on whether your solution uses user input data (e.g., prompts, uploads, queries) to fine-tune, train, or otherwise influence the behavior of your AI model. Consider any use of user data for model improvement, personalization, or aggregated learning.</t>
  </si>
  <si>
    <t>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t>
  </si>
  <si>
    <t>Describe whether input data is used for personalization, training, or continuous learning. Indicate whether, if data is anonymized, institutions are notified or can opt out, and describe how use aligns with FERPA, GDPR, and state laws.</t>
  </si>
  <si>
    <t>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t>
  </si>
  <si>
    <t>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t>
  </si>
  <si>
    <t>Do you provide logging for your solution's AI feature(s) that includes user, date, and action taken?*</t>
  </si>
  <si>
    <t>Please answer based on whether your AI features generate audit logs that record user identity, timestamp, and actions taken. Include log retention, immutability, access for administrators or auditors, and how logs support compliance and incident response.</t>
  </si>
  <si>
    <t>If audit logging is not available, explain why and describe alternate controls or planned timelines to support monitoring, incident response, and compliance.</t>
  </si>
  <si>
    <t>Describe what audit logs capture, how long they are retained, whether they are immutable, and how they support audits and oversight.</t>
  </si>
  <si>
    <t>This question helps institutions confirm whether AI features can be audited for user activity, data use, and system behavior. Audit logging supports regulatory compliance, incident response, and transparency in environments handling sensitive or regulated data.</t>
  </si>
  <si>
    <t>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t>
  </si>
  <si>
    <t>Please describe how you validate user inputs.</t>
  </si>
  <si>
    <t>Please describe how your solution validates user inputs, including detection of anomalies, malicious inputs, and sensitive data. Indicate where validation occurs and how it supports security and compliance.</t>
  </si>
  <si>
    <t>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t>
  </si>
  <si>
    <t>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t>
  </si>
  <si>
    <t>Do you plan for and mitigate supply-chain risk related to your AI features?</t>
  </si>
  <si>
    <t>If supply chain risk planning is not in place, explain why and note any compensating controls or future plans.</t>
  </si>
  <si>
    <t>Describe your use of SAST, SBOM, and monitoring of third-party AI components, and how you address vulnerabilities in line with NIST and state requirements</t>
  </si>
  <si>
    <t>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t>
  </si>
  <si>
    <t>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t>
  </si>
  <si>
    <t>Do you separate ML training data from your ML solution data?*</t>
  </si>
  <si>
    <t>If REQU-04 is no, populate solution provider answer with B5 in Auto Responses tab; If AIQU-01 is no, populate with B9</t>
  </si>
  <si>
    <t>Please answer based on whether training data is kept separate from production data to protect institutional information. Include how organizational data is segregated, anonymized, or excluded from training, and state whether institutions can opt out of data use for model improvement.</t>
  </si>
  <si>
    <t>If data separation is not in place, explain why and describe compensating controls to protect institutional data from being used in training. Include whether opt-out options are available or planned.</t>
  </si>
  <si>
    <t>Describe how training data is separated from production data, including anonymization, segregation controls, or exclusions. Indicate whether institutions can opt out of data being used in training.</t>
  </si>
  <si>
    <t>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t>
  </si>
  <si>
    <t>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t>
  </si>
  <si>
    <t>Do you authenticate and verify your ML model's feedback?*</t>
  </si>
  <si>
    <t>Explain why the ML model's feedback is not currently authenticated or verified.</t>
  </si>
  <si>
    <t>Describe the process used to authenticate and verify ML model feedback. Include how you detect and mitigate attempts to introduce model skewing, poisoning, or date/phrase attacks.</t>
  </si>
  <si>
    <t>Verifying ML model feedback helps prevent skewing attacks that could distort predictions or reduce reliability.</t>
  </si>
  <si>
    <t>Understand whether any other controls or processes are in place that would mitigate the risk of the vendor not doing the authentication or verification. How does the vendor perform trigger-sweep evaluations?</t>
  </si>
  <si>
    <t>Is your ML training data vetted, validated, and verified before training the solution's AI model?</t>
  </si>
  <si>
    <t>Explain why the data is not vetted, validated, or verified. Include any future plans to implement this process, and describe any current controls that serve as substitutes for formal vetting and validation.</t>
  </si>
  <si>
    <t>Describe how the training data is vetted, validated and verified before the AI model is trained. Include the process along with the AI/ML data policy. Describe your validation of data labelers to validate the accuracy of the data labeling.</t>
  </si>
  <si>
    <t>This process can reduce the risk of errors or bias, as well as poor data quality undermining the model's accuracy and integrity.</t>
  </si>
  <si>
    <t>What other controls are in place as a substitute to this process? If not all steps are complete, what part of the process is currently being done?</t>
  </si>
  <si>
    <t>Is your ML training data monitored and audited?</t>
  </si>
  <si>
    <t>Explain why training data is not currently monitored or audited, and describe any alternative safeguards in place or future plans to implement monitoring and auditing.</t>
  </si>
  <si>
    <t>Describe the current process for how training data is monitored for any anomalies and audited to detect any data tampering.</t>
  </si>
  <si>
    <t>Training data can be targeted by attackers to influence the ML model’s behavior in harmful ways.</t>
  </si>
  <si>
    <t>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t>
  </si>
  <si>
    <t>Have you limited access to your ML training data to only staff with an explicit business need?</t>
  </si>
  <si>
    <t>Explain why access to training data is not restricted to staff with an explicit business need. Include any existing policies or controls that currently govern data access.</t>
  </si>
  <si>
    <t>Include what roles at your organization have the ability to view or modify ML training data.</t>
  </si>
  <si>
    <t>Have you implemented adversarial training or other model defense mechanisms to protect your ML-related features?</t>
  </si>
  <si>
    <t>Explain why training or other defensive mechanisms have not been implemented. Include controls or other policies in place that would substitute.</t>
  </si>
  <si>
    <t>Describe the defensive strategies in place to protect ML features and how they are tested for effectiveness.</t>
  </si>
  <si>
    <t>Adversarial training and defenses help keep models resilient against manipulation and evasion attacks.</t>
  </si>
  <si>
    <t>What adversarial training is performed on the ML? What defense mechanisms are incorporated into the ML? How is the input validated for the ML?</t>
  </si>
  <si>
    <t>Do you make your ML model transparent through documentation and log inputs and outputs?</t>
  </si>
  <si>
    <t>Explain why the model is not documented, does not log inputs/outputs, or lacks explainability features, and describe any compensating controls or future plans to increase transparency.</t>
  </si>
  <si>
    <t>Describe how the model is made transparent through documentation and logging of inputs and outputs. Provide explanations for predictions.</t>
  </si>
  <si>
    <t>This process helps ensure accountability and detect misuse or anomalies.</t>
  </si>
  <si>
    <t>How long are input/output logs retained, and how is log data protected? How often are transparency and logging processes reviewed or updated? Do logs enable post-hoc trigger correlation?</t>
  </si>
  <si>
    <t>Do you watermark your ML training data?</t>
  </si>
  <si>
    <t>Explain why training data is not watermarked and any compensating controls or future plans.</t>
  </si>
  <si>
    <t>Describe the watermarking process for training data and how it helps track, trace, or protect against compromise. Include dataset fingerprinting, provenance attestations, tools, or techniques used.</t>
  </si>
  <si>
    <t>Watermarking training data supports traceability, making it easier to detect misuse and respond to incidents.</t>
  </si>
  <si>
    <t>Are all training datasets watermarked, or only specific subsets? Are there any policies, procedures, or controls in place that would serve as substitutes or compensating measures for this practice?</t>
  </si>
  <si>
    <t>Do you limit your solution's LLM privileges by default?*</t>
  </si>
  <si>
    <t>Describe other compensating controls for mitigating prompt-injection risk.</t>
  </si>
  <si>
    <t>Describe how privilege control is implemented for the LLM and how trust boundaries are established between LLM, external sources, and extensible functionality (plugins or downstream functions). Include how you leverage "human in the loop" principals.</t>
  </si>
  <si>
    <t>This question addresses misuse, exfiltration/change risk, and over-privileged behavior. It supports accountable operations and auditability.</t>
  </si>
  <si>
    <t>Is the LLM's API token unique? How do you segregate external content from user prompts? Do you manually monitor LLM input and output periodically?</t>
  </si>
  <si>
    <t>Is your LLM training data vetted, validated, and verified before training the solution's AI model?*</t>
  </si>
  <si>
    <t>If REQU-04 is no, populate solution provider answer with B5 in Auto Responses tab; If AIQU-02 is no, populate with B10</t>
  </si>
  <si>
    <t>State whether there are any governance measures, alternative practices, or no controls in place. Summarize how training data is currently managed.</t>
  </si>
  <si>
    <t>Describe your processes for sourcing, licensing, validating, and refreshing training data. Include how sensitive data is handled and how quality checks are performed.</t>
  </si>
  <si>
    <t>Assures lawful, ethical, and auditable data use while reducing IP and privacy risk. This is key to trustworthy AI and effective audits.</t>
  </si>
  <si>
    <t>Request a dataset register with provenance records, license documentation, and change-control history. Request sample outputs of PII scrubbing/anonymization processes, results of bias/safety evaluations, and records of dataset refresh or retirement events.</t>
  </si>
  <si>
    <t>Do any actions taken by your solution's LLM features or plugins require human intervention?*</t>
  </si>
  <si>
    <t>Explain whether alternative safeguards exist, whether plans are in place, or if no oversight is applied. Clarify the degree of autonomy currently allowed.</t>
  </si>
  <si>
    <t>Describe how human approval or oversight is applied before sensitive or high-impact LLM actions are executed. Include where approvals occur and what roles are involved.</t>
  </si>
  <si>
    <t>Prevents autonomous risky actions or misconfigurations and enforces accountability. This limits excessive agency.</t>
  </si>
  <si>
    <t>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t>
  </si>
  <si>
    <t>Do you limit multiple LLM model plugins being called as part of a single input?*</t>
  </si>
  <si>
    <t>If REQU-04 is no, populate solution provider answer with B5 in Auto Responses tab; If AIQU-02 is no, populate with B9</t>
  </si>
  <si>
    <t>Indicate whether compensating controls, planned restrictions, or no limitations are in place. Summarize how plugin or tool use is currently handled.</t>
  </si>
  <si>
    <t>Describe how plugins or external tools are restricted. Include whether limits, validation, or monitoring are applied.</t>
  </si>
  <si>
    <t>Reduces supply-chain and prompt-injection risk, controls attack surface, and clarifies accountability. Aligns with governance expectations.</t>
  </si>
  <si>
    <t>Request a list of all plugins/tools callable by the LLM and the allow-listing criteria/review cadence. Ask for the validation approach, sandbox/egress rules, and test evidence.</t>
  </si>
  <si>
    <t>Do you limit your solution's LLM resource use per request, per step, and per action?</t>
  </si>
  <si>
    <t>Explain whether any alternative practices, future plans, or no limits are in place. Summarize how resource consumption is currently handled.</t>
  </si>
  <si>
    <t>Describe how resource usage such as tokens, CPU, memory, or API calls is managed. Include whether quotas, monitoring, or escalation paths are defined.</t>
  </si>
  <si>
    <t>Prevents denial-of-service and cost overruns from excessive or malicious consumption. Demonstrates managed, measurable operations.</t>
  </si>
  <si>
    <t>Request current default versus maximum token/CPU/memory quotas per tenant, monitoring dashboards of usage, and alerts or incidents where throttling was triggered. Ask about runbooks for resource spikes, evidence of recent resource reviews, and escalation paths.</t>
  </si>
  <si>
    <t>Do you leverage LLM model tuning or other model validation mechanisms?</t>
  </si>
  <si>
    <t>Indicate whether compensating measures, future plans, or no safeguards exist. Summarize how accuracy is currently managed.</t>
  </si>
  <si>
    <t>Describe how you improve factual reliability. Include whether methods such as retrieval augmentation, fact checking, or human review are applied</t>
  </si>
  <si>
    <t>Mitigates hallucinations and ensures decisions rely on verifiable information. Supports trustworthy outcomes and reduces downstream misuse.</t>
  </si>
  <si>
    <t>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t>
  </si>
  <si>
    <t>AILM-07</t>
  </si>
  <si>
    <t>Do you perform taint tracing or tracking on all plugin content related to the LLM?</t>
  </si>
  <si>
    <t>Looking for taint tracing or tracking of LLM plugins to mitigate malicious inputs tuning and prompt engineering.</t>
  </si>
  <si>
    <t xml:space="preserve">This worksheet contains Auto-Responses that auto-populate the other worksheets and the context for when they are used. </t>
  </si>
  <si>
    <t>Question Auto-Response</t>
  </si>
  <si>
    <t>Context</t>
  </si>
  <si>
    <t>INSTRUCTIONS FOR ANALYSTS</t>
  </si>
  <si>
    <t>INSTRUCTIONS FOR HIGH-RISK SCORECARD</t>
  </si>
  <si>
    <t>DROPDOWN OPTIONS</t>
  </si>
  <si>
    <t>SECURITY FRAMEWORK OPTIONS</t>
  </si>
  <si>
    <t>QUESTION CATEGORY NAMES/TITLES</t>
  </si>
  <si>
    <t xml:space="preserve">Based on the response to REQU-01 on the "START HERE" tab, this question does not apply to this product or service. </t>
  </si>
  <si>
    <t>Does not offer a product or platform</t>
  </si>
  <si>
    <t>1. Complete the "Start Here" tab and review the "Required Questions" guidance to find the other sections are required for your product or service.</t>
  </si>
  <si>
    <t>1. Upon initial review, you can check the "Non-Negotiable" box by any question to compile a report of questions that may prohibit a full review.</t>
  </si>
  <si>
    <t xml:space="preserve">1. The scorecard below reflects those questions marked as "Critical Importance" or those where the "Non-Negotiable" box was checked. </t>
  </si>
  <si>
    <t>CIS Critical Security Controls v6.1</t>
  </si>
  <si>
    <t>Full Name</t>
  </si>
  <si>
    <t># of Questions</t>
  </si>
  <si>
    <t>Based on the response to REQU-02 on the "START HERE" tab, this question does not apply to this product or service.</t>
  </si>
  <si>
    <t>No interface for accessibility review</t>
  </si>
  <si>
    <t>2. Complete the "Organization" tab and the applicable questions in each of the next 5 tabs (Product through Privacy) that apply, based on your answers to the "Required Questions."</t>
  </si>
  <si>
    <t>2. When evaluating an answer, a default importance level has been set. You can use the "Importance Override" dropdown to override the default and adjust the value of the question.</t>
  </si>
  <si>
    <t xml:space="preserve">2. Use these condensed, aggregated views to review those questions that pose the highest risk. </t>
  </si>
  <si>
    <t>GNRL</t>
  </si>
  <si>
    <t xml:space="preserve"> General Information</t>
  </si>
  <si>
    <t>Based on the response to REQU-03 on the "START HERE" tab, this question does not apply to this product or service.</t>
  </si>
  <si>
    <t>Not a consultant</t>
  </si>
  <si>
    <t xml:space="preserve">3. Guidance in column E may change based on your answers to prompt details in "Additional Information." If leaving an answer blank, you must also state why in "Additional Information". </t>
  </si>
  <si>
    <t>3. For questions that are qualitative or for which you disagree with the preferred response, make a selection in the "Compliant Override" dropdown to adjust the question's impact on the score.</t>
  </si>
  <si>
    <t>3. Changes cannot be made in this sheet. Please make changes in the appropriate "Evaluation" tab.</t>
  </si>
  <si>
    <t>ISO 27002:2013</t>
  </si>
  <si>
    <t xml:space="preserve"> Company Information</t>
  </si>
  <si>
    <t>Based on the response to REQU-04 on the "START HERE" tab, this question does not apply to this product or service.</t>
  </si>
  <si>
    <t>No AI features</t>
  </si>
  <si>
    <t>4. DO NOT complete any fields in the "Evaluation" sheets or the "Analyst Notes" column.</t>
  </si>
  <si>
    <t xml:space="preserve">4. Each worksheet shows a report for that section. See the "Analyst Report" sheet for a full report of all sections. </t>
  </si>
  <si>
    <t>NIST Cybersecurity Framework</t>
  </si>
  <si>
    <t>REQU</t>
  </si>
  <si>
    <t xml:space="preserve"> Required Questions</t>
  </si>
  <si>
    <t>Based on the response to REQU-05 on the "START HERE" tab, this question does not apply to this product or service.</t>
  </si>
  <si>
    <t>No HIPAA covered PHI</t>
  </si>
  <si>
    <t>5. Return the completed file to institutions.</t>
  </si>
  <si>
    <t xml:space="preserve">5. If you are evaluating a question that appears in an earlier section, the Importance and Compliant Override cannot be changed but additional notes can be added. </t>
  </si>
  <si>
    <t>Mark as Compliant</t>
  </si>
  <si>
    <t>NIST SP 800-171r1</t>
  </si>
  <si>
    <t xml:space="preserve"> Documentation</t>
  </si>
  <si>
    <t>Based on the response to REQU-06 on the "START HERE" tab, this question does not apply to this product or service.</t>
  </si>
  <si>
    <t>No PCI DSS</t>
  </si>
  <si>
    <t>* Denotes critical questions. Critical questions are those deemed most important to institutions by higher education volunteers.</t>
  </si>
  <si>
    <t>For full instructions, please visit EDUCAUSE.edu/HECVAT</t>
  </si>
  <si>
    <t>Mark as Non-Compliant</t>
  </si>
  <si>
    <t>NIST SP 800-53r4</t>
  </si>
  <si>
    <t xml:space="preserve"> IT Accessibility</t>
  </si>
  <si>
    <t>Based on the response to REQU-07 on the "START HERE" tab, this question does not apply to this product or service.</t>
  </si>
  <si>
    <t>Not on-prem</t>
  </si>
  <si>
    <t>For full instructions, please visit educause.edu/HECVAT</t>
  </si>
  <si>
    <t xml:space="preserve"> Assessment of Third Parties</t>
  </si>
  <si>
    <t>Based on the response to AIQU-01, this question does not apply to this product or service.</t>
  </si>
  <si>
    <t>Does not leverage machine learning</t>
  </si>
  <si>
    <t xml:space="preserve"> Consulting Services</t>
  </si>
  <si>
    <t>Based on the response to AIQU-02, this question does not apply to this product or service.</t>
  </si>
  <si>
    <t>Does not leverage a large language model</t>
  </si>
  <si>
    <t xml:space="preserve"> Application/Service Security</t>
  </si>
  <si>
    <t>DO complete the Product and Infrastructure worksheets.</t>
  </si>
  <si>
    <t>Yes to REQU-01</t>
  </si>
  <si>
    <t>SCORE LOCATIONS</t>
  </si>
  <si>
    <t xml:space="preserve"> Authentication, Authorization, and Account Management</t>
  </si>
  <si>
    <t>DO NOT complete the Product and Infrastructure worksheets.</t>
  </si>
  <si>
    <t>NO to REQU-01</t>
  </si>
  <si>
    <t xml:space="preserve"> Change Management</t>
  </si>
  <si>
    <t>Yes to REQU-02</t>
  </si>
  <si>
    <t>Does Not Apply/Do Not Score</t>
  </si>
  <si>
    <t>START HERE</t>
  </si>
  <si>
    <t xml:space="preserve"> Data</t>
  </si>
  <si>
    <t>NO to REQU-02</t>
  </si>
  <si>
    <t xml:space="preserve"> Datacenter</t>
  </si>
  <si>
    <t>DO complete the Consulting section in the Case-Specific worksheet.</t>
  </si>
  <si>
    <t>YES to REQU-03</t>
  </si>
  <si>
    <t xml:space="preserve"> Firewalls, IDS, IPS, and Networking</t>
  </si>
  <si>
    <t>DO NOT complete the Consulting section in the Case-Specific worksheet.</t>
  </si>
  <si>
    <t>NO to REQU-03</t>
  </si>
  <si>
    <t>Self-Managed</t>
  </si>
  <si>
    <t xml:space="preserve"> Policies, Processes, and Procedures</t>
  </si>
  <si>
    <t>DO complete the Artificial Intelligence (AI) worksheet.</t>
  </si>
  <si>
    <t>YES to REQU-04</t>
  </si>
  <si>
    <t>Physical Co-Location</t>
  </si>
  <si>
    <t xml:space="preserve"> Incident Handling</t>
  </si>
  <si>
    <t>DO NOT complete the Artificial Intelligence (AI) worksheet.</t>
  </si>
  <si>
    <t>NO to REQU-04</t>
  </si>
  <si>
    <t>Virtual Co-Location</t>
  </si>
  <si>
    <t xml:space="preserve"> Vulnerability Management</t>
  </si>
  <si>
    <t>DO complete the HIPAA section in the Case-Specific worksheet.</t>
  </si>
  <si>
    <t>YES to REQU-05</t>
  </si>
  <si>
    <t>AWS</t>
  </si>
  <si>
    <t xml:space="preserve">HIPAA Compliance </t>
  </si>
  <si>
    <t>DO NOT complete the HIPAA section in the Case-Specific worksheet.</t>
  </si>
  <si>
    <t>NO to REQU-05</t>
  </si>
  <si>
    <t xml:space="preserve"> Payment Card Industry Data Security Standard (PCI DSS)</t>
  </si>
  <si>
    <t>DO complete the PCI-DSS section in the Case-Specific worksheet.</t>
  </si>
  <si>
    <t>YES to REQU-06</t>
  </si>
  <si>
    <t>GCP</t>
  </si>
  <si>
    <t xml:space="preserve"> On-Premises Data Solutions</t>
  </si>
  <si>
    <t>DO NOT complete the PCI-DSS section in the Case-Specific worksheet.</t>
  </si>
  <si>
    <t>NO to REQU-06</t>
  </si>
  <si>
    <t>Hybrid/Other</t>
  </si>
  <si>
    <t xml:space="preserve"> General Privacy</t>
  </si>
  <si>
    <t>DO complete the On-Premises Data Solutions section in the Case-Specific worksheet.</t>
  </si>
  <si>
    <t>YES to REQU-07</t>
  </si>
  <si>
    <t xml:space="preserve"> Privacy-Specific Company Details</t>
  </si>
  <si>
    <t>DO NOT complete the On-Premises Data Solutions section in the Case-Specific worksheet.</t>
  </si>
  <si>
    <t>NO to REQU-07</t>
  </si>
  <si>
    <t xml:space="preserve"> Privacy-Specific Documentation</t>
  </si>
  <si>
    <t>Based on the response to DCTR-01, this question does not apply to this product or service.</t>
  </si>
  <si>
    <t>Hosting option selection makes some questions N/A</t>
  </si>
  <si>
    <t xml:space="preserve"> Privacy of Third Parties</t>
  </si>
  <si>
    <t>Based on the response to AIPL-03, this question does not apply to this product or service.</t>
  </si>
  <si>
    <t>Neutral until evaluated</t>
  </si>
  <si>
    <t xml:space="preserve"> Privacy Change Management</t>
  </si>
  <si>
    <t>Based on the response to AAAI-01, this question does not apply to this product or service. Please select N/A.</t>
  </si>
  <si>
    <t xml:space="preserve"> Privacy of Sensitive Data</t>
  </si>
  <si>
    <t xml:space="preserve"> Privacy Policies and Procedures</t>
  </si>
  <si>
    <t xml:space="preserve"> International Privacy</t>
  </si>
  <si>
    <t xml:space="preserve"> Data Privacy</t>
  </si>
  <si>
    <t xml:space="preserve"> Privacy and AI</t>
  </si>
  <si>
    <t>This question does not apply.</t>
  </si>
  <si>
    <t>AIQU</t>
  </si>
  <si>
    <t xml:space="preserve"> AI Qualifying Questions</t>
  </si>
  <si>
    <t>AIGN</t>
  </si>
  <si>
    <t xml:space="preserve"> General AI Questions</t>
  </si>
  <si>
    <t>AIPL</t>
  </si>
  <si>
    <t xml:space="preserve"> AI Policy</t>
  </si>
  <si>
    <t>Version 4.1.5</t>
  </si>
  <si>
    <t>AISC</t>
  </si>
  <si>
    <t xml:space="preserve"> AI Data Security</t>
  </si>
  <si>
    <t>AIML</t>
  </si>
  <si>
    <t xml:space="preserve"> AI Machine Learning</t>
  </si>
  <si>
    <t>AILM</t>
  </si>
  <si>
    <t xml:space="preserve"> AI Large Language Model (LLM)</t>
  </si>
  <si>
    <t xml:space="preserve">This worksheet is auto-populated with data taken from previous worksheets. </t>
  </si>
  <si>
    <t>ID Code</t>
  </si>
  <si>
    <t>Vendor Response</t>
  </si>
  <si>
    <t>Default Value</t>
  </si>
  <si>
    <t>Compliance Eval</t>
  </si>
  <si>
    <t>Non-negotiable Indicator</t>
  </si>
  <si>
    <t>Critical Indicator</t>
  </si>
  <si>
    <t>Potential Score</t>
  </si>
  <si>
    <t>Actual Score</t>
  </si>
  <si>
    <t>Non-Negotiable Count</t>
  </si>
  <si>
    <t>Non-Negotiable Total</t>
  </si>
  <si>
    <t>Non-Negotiable Location</t>
  </si>
  <si>
    <t>Critical Count</t>
  </si>
  <si>
    <t>Critical Total</t>
  </si>
  <si>
    <t>Critical Location</t>
  </si>
  <si>
    <t xml:space="preserve">End of workbook </t>
  </si>
  <si>
    <t>Preservica provides optional, opt-in AI-assisted capabilities that support archival and preservation workflows on content the customer is ingesting or has already ingested into the platform. Current capabilities are: optical character recognition, to make text in scanned images searchable; identification of personally identifiable information, to help customers locate sensitive content ahead of access or disclosure decisions; image description, to generate descriptive text for still images; audio and video transcription, to produce searchable text from time-based media; and metadata quality checking, to standardize inconsistent metadata values across collections and correct typos. The goal is to reduce manual cataloguing and review effort and to improve discoverability and access decision-making across large collections. Optical character recognition, identification of personally identifiable information, audio and video transcription, and metadata quality check are performed within the Preservica service using open-source technologies. Image description temporarily uses vision model services provided by the same cloud provider that already hosts the customer's environment. In an upcoming release, image description will be updated to also be performed within the Preservica service using open-source technologies. Underlying models may change over time provided equivalent security, privacy and trust controls are maintained. Outputs are presented to the customer for human review and are not acted on autonomously; customers retain control over whether AI capabilities are enabled, what content is submitted, and how outputs are used.</t>
  </si>
  <si>
    <t>Yes. All new use of third-party and open-source components must be reviewed and approved before adoption into any Preservica product or build pipeline, and use of such components in the platform's services and infrastructure is recorded in an authoritative register that is reviewed annually. Automated static analysis with dependency scanning is integrated into developer IDEs and enforced at every pull request, checking for vulnerabilities, licence issues and secrets. To the extent reasonably and commercially possible, Preservica keeps all components used within the SaaS platform up to date and in line with vendor-supported versions. Any new component carrying a licence classified as high risk must be notified to Legal and the Chief Technology Officer before adoption.</t>
  </si>
  <si>
    <t>Yes. Preservica has an established Vulnerability and Patch Management Policy covering the identification, assessment, mitigation and closure of vulnerabilities, audited as part of Preservica's SOC 2 Type II report and within the scope of its ISO/IEC 27001:2022 certification. Identification: Preservica maintains a threat management capability drawing on software vendors, trusted third parties, open-source intelligence, customer feedback and information security communities, with active subscriptions to threat intelligence and vulnerability feeds. Static application security testing, including dependency analysis, is integrated into developer IDEs and runs on every pull request; dynamic application security testing is performed at minimum on every release candidate; infrastructure vulnerability scanning runs continuously and is reviewed at least monthly; and an independent CREST-certified manual penetration test is performed at least annually. Assessment: vulnerabilities are assessed and remediated in line with the risk they pose as determined by Preservica's Information Security team, taking account of the vendor's own rating including CVSS score where available, the applicability and configuration of the affected component within Preservica's environment, and any existing compensating controls. Application: patches are applied through Preservica's change management process, with the highest-severity issues expedited; automated deployment to production enables rapid rollout across environments.</t>
  </si>
  <si>
    <t>Static Application Security Testing (SAST) is integrated into developer IDEs and enforced at every pull request, covering the application source code and its third-party and open-source dependencies, and checking for vulnerabilities, licensing issues and hard-coded secrets. No source code change is accepted into the main branch without both a second-person review and a SAST review. Dynamic Application Security Testing is additionally applied as a release gate against every release candidate, infrastructure vulnerability scanning runs continuously, and an independent penetration test is performed at least annually by a CREST-certified third party. Specific tool names are not disclosed.</t>
  </si>
  <si>
    <t>Testing is governed by Preservica's documented Secure Development Policy and Change Management procedure. System designs are assessed against the OWASP Top 10 (2025) categories at the design phase and peer-reviewed at Technical Review meetings attended by engineering, DevOps and Operations personnel, senior engineers, and a representative from Information Security. During development, static application security testing runs in developer IDEs and on every pull request, and every source code change requires second-person review and approval before acceptance into the main branch. Before release, automated build and functional testing and Dynamic Application Security Testing are completed against every release candidate; Dynamic Application Security Testing acts as a release gate. Changes are documented in tickets with quality assurance prior to implementation and are approved by a Change Advisory Board chaired by the Operations Director as Change Manager. Customer production data is never used in test environments. These controls are independently tested within Preservica's annual SOC 2 Type II audit.</t>
  </si>
  <si>
    <t>Static Application Security Testing, including dependency analysis, is integrated into developer IDEs and enforced at every pull request; no source code change is accepted into the main branch without both a second-person review and a static analysis review for vulnerabilities, licensing issues and hard-coded secrets. Dynamic Application Security Testing is performed as a release gate against every release candidate, and vulnerability scans are performed as an authenticated user. Infrastructure vulnerability scanning runs continuously and is reviewed at least monthly. Identified vulnerabilities are assessed and remediated in line with the risk they pose, as determined by Preservica's Information Security team, taking into account the vendor's own rating including any CVSS score, the applicability and configuration of the affected component within Preservica's environment, and any existing compensating controls.</t>
  </si>
  <si>
    <t>Yes. Preservica's secure development framework is the OWASP Top 10 (2025), and system designs are assessed against the OWASP Top 10 categories at the design phase. Static Application Security Testing is integrated into developer IDEs and enforced at every pull request; Dynamic Application Security Testing is performed as a release gate against every release candidate; and an independent CREST-certified penetration test covering the application and API layers is performed at least annually. Between them these cover the common web application vulnerability classes, including injection, cross-site scripting and cross-site request forgery. Engineers are required to ensure that code is free of the current OWASP Top 10 web application security risks before it is deployed to production.</t>
  </si>
  <si>
    <t>Yes. The open-source components underpinning Preservica's AI-assisted capabilities are governed by the same supply-chain controls as all other third-party components in the platform. All new open-source usage — libraries, frameworks, tools, containers or other components — must be reviewed and approved before adoption into any Preservica product or build pipeline, with licence risk assessed as part of that review and higher-risk licences escalated for legal and executive approval before use. Components in use are recorded in an authoritative register that is reviewed annually. Static Application Security Testing, including dependency and component analysis, is integrated into developer IDEs and enforced at every pull request; Dynamic Application Security Testing is performed as a release gate on every release candidate; infrastructure vulnerability scanning runs continuously and is reviewed at least monthly; and an independent penetration test by a CREST-certified third party is performed at least annually across application, API and infrastructure layers. Vendor-supported component versions are maintained wherever reasonably possible, with end-of-life components remediated under Preservica's vulnerability and patch management process. Where an AI capability uses a cloud provider service rather than a component operated by Preservica, that provider is a contracted sub-processor covered by its own independently audited certifications, and Preservica accepts responsibility for its sub-processors under its standard terms. These controls sit within Preservica's certified management systems, including ISO/IEC 27001:2022 and an annual SOC 2 Type II audit; compliance documentation is available via Preservica's Trust Center at https://preservica.com/trust-center. Underlying AI models and components may change over time provided equivalent security, privacy and trust controls are maintained.</t>
  </si>
  <si>
    <t>Under Preservica's standard Terms and Conditions, in the event of a confirmed data breach Preservica will, where legally permitted: for Enterprise editions and above, promptly inform the institution within 24 hours including any relevant details, manage the incident through to resolution in consultation with the institution and Preservica's advisors, and provide regular updates; for Professional and Professional Plus, promptly inform the institution within 48 hours, manage the incident through to resolution in consultation with Preservica's advisors, and provide regular updates; and for Starter Plus, promptly inform the institution within 48 hours and manage the incident through to resolution in consultation with Preservica's advisors. Preservica will comply with applicable breach notification laws, including notification to the relevant supervisory or governmental authorities where required; where an incident has affected or is likely to have affected personal data, Preservica's Data Protection Officer advises on assessment, containment and notification.</t>
  </si>
  <si>
    <t>Preservica is hosted on third-party cloud infrastructure provided by Microsoft Azure or Amazon Web Services, as specified in the Data Residency section of the customer's Order Form. Cloudflare is used for Professional edition environments and above. Preservica does not operate its own data centres; physical security and facility operation of the underlying data centres are the responsibility of the infrastructure provider under their own independently audited certifications. The division of responsibility is set out in Preservica's Shared Responsibility Model: https://website-assets.preservica.com/production/resources/Shared-Responsibility-Model-Global-v1.1.pdf</t>
  </si>
  <si>
    <t>AI processing of institutional data occurs only where the institution enables it. All AI capabilities are disabled by default and must be explicitly activated; activation can be restricted to authorised users through administrative control and role-based access. The capabilities available are optical character recognition, identification of potential personal data within content, image description, audio and video transcription, and metadata quality checking; availability depends on product edition and configuration. Optical character recognition, identification of potential personal data, audio and video transcription, and metadata quality checking run entirely within the Preservica SaaS boundary using open-source models operated by Preservica, so no institutional data is sent to a third-party AI service for those capabilities. Image description uses the enterprise AI services of the same cloud provider that already hosts the institution's environment, on an inference-only, stateless basis. In all cases outputs are presented for human review rather than acted upon autonomously.</t>
  </si>
  <si>
    <t>Preservica does not capture or create genetic, biometric or behaviometric information. The platform's optional AI capabilities are limited to optical character recognition, identification of potential personal data within text, image description, audio and video transcription, and metadata quality checking; they do not include facial recognition, biometric matching, or behavioural profiling, and no biometric templates or identifiers are generated. Where an institution chooses to ingest content that itself contains such information, Preservica stores it as ingested and processes it solely as Processor on the institution's documented instructions.</t>
  </si>
  <si>
    <t>High-level architecture and security architecture diagrams can be shared with prospective customers under a non-disclosure agreement, or with existing customers under the right-to-audit provisions of their agreement. Detailed data-flow documentation is not provided. Requests should be directed to Information.Security@preservica.com.</t>
  </si>
  <si>
    <t>Preservica is not designed specifically for the processing of protected health information and does not currently offer a Business Associate Agreement. Customers determine what content they ingest and remain responsible for ensuring it is permitted under their own regulatory obligations.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</si>
</sst>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63" x14ac:knownFonts="1">
    <font>
      <sz val="12"/>
      <color indexed="8"/>
      <name val="Verdana"/>
    </font>
    <font>
      <sz val="12"/>
      <color theme="0"/>
      <name val="Verdana"/>
      <family val="2"/>
    </font>
    <font>
      <b/>
      <sz val="20"/>
      <color theme="0"/>
      <name val="Verdana"/>
      <family val="2"/>
    </font>
    <font>
      <b/>
      <sz val="14"/>
      <color theme="1"/>
      <name val="Verdana"/>
      <family val="2"/>
    </font>
    <font>
      <sz val="11"/>
      <color indexed="8"/>
      <name val="Verdana"/>
      <family val="2"/>
    </font>
    <font>
      <b/>
      <sz val="12"/>
      <color theme="0"/>
      <name val="Verdana"/>
      <family val="2"/>
    </font>
    <font>
      <b/>
      <sz val="11"/>
      <color rgb="FF000000"/>
      <name val="Verdana"/>
      <family val="2"/>
    </font>
    <font>
      <sz val="11"/>
      <color rgb="FF000000"/>
      <name val="Verdana"/>
      <family val="2"/>
    </font>
    <font>
      <sz val="10"/>
      <color rgb="FF000000"/>
      <name val="Aptos Narrow"/>
      <family val="2"/>
      <scheme val="minor"/>
    </font>
    <font>
      <b/>
      <sz val="11"/>
      <color rgb="FF000000"/>
      <name val="Arial"/>
      <family val="2"/>
    </font>
    <font>
      <sz val="11"/>
      <color rgb="FF000000"/>
      <name val="Arial"/>
      <family val="2"/>
    </font>
    <font>
      <sz val="11"/>
      <color theme="1"/>
      <name val="Arial"/>
      <family val="2"/>
    </font>
    <font>
      <sz val="10"/>
      <color theme="1"/>
      <name val="Aptos Narrow"/>
      <family val="2"/>
      <scheme val="minor"/>
    </font>
    <font>
      <b/>
      <sz val="10"/>
      <color theme="1"/>
      <name val="Aptos Narrow"/>
      <family val="2"/>
      <scheme val="minor"/>
    </font>
    <font>
      <sz val="12"/>
      <color theme="1"/>
      <name val="Verdana"/>
      <family val="2"/>
    </font>
    <font>
      <b/>
      <sz val="11"/>
      <color rgb="FFFF0000"/>
      <name val="Verdana"/>
      <family val="2"/>
    </font>
    <font>
      <sz val="11"/>
      <color theme="1"/>
      <name val="Verdana"/>
      <family val="2"/>
    </font>
    <font>
      <b/>
      <sz val="12"/>
      <color theme="1"/>
      <name val="Verdana"/>
      <family val="2"/>
    </font>
    <font>
      <i/>
      <sz val="12"/>
      <color theme="1"/>
      <name val="Verdana"/>
      <family val="2"/>
    </font>
    <font>
      <b/>
      <sz val="14"/>
      <color theme="0"/>
      <name val="Verdana"/>
      <family val="2"/>
    </font>
    <font>
      <b/>
      <sz val="14"/>
      <color rgb="FFFF0000"/>
      <name val="Verdana"/>
      <family val="2"/>
    </font>
    <font>
      <i/>
      <sz val="11"/>
      <color theme="1"/>
      <name val="Verdana"/>
      <family val="2"/>
    </font>
    <font>
      <sz val="12"/>
      <color indexed="8"/>
      <name val="Verdana"/>
      <family val="2"/>
    </font>
    <font>
      <b/>
      <sz val="12"/>
      <color rgb="FF000000"/>
      <name val="Verdana"/>
      <family val="2"/>
    </font>
    <font>
      <b/>
      <sz val="12"/>
      <color indexed="8"/>
      <name val="Verdana"/>
      <family val="2"/>
    </font>
    <font>
      <u/>
      <sz val="12"/>
      <color theme="10"/>
      <name val="Verdana"/>
      <family val="2"/>
    </font>
    <font>
      <sz val="8"/>
      <name val="Verdana"/>
      <family val="2"/>
    </font>
    <font>
      <sz val="11"/>
      <name val="Verdana"/>
      <family val="2"/>
    </font>
    <font>
      <b/>
      <sz val="20"/>
      <name val="Verdana"/>
      <family val="2"/>
    </font>
    <font>
      <b/>
      <sz val="12"/>
      <name val="Verdana"/>
      <family val="2"/>
    </font>
    <font>
      <sz val="8"/>
      <name val="Verdana"/>
      <family val="2"/>
    </font>
    <font>
      <sz val="12"/>
      <color rgb="FFFF0000"/>
      <name val="Verdana"/>
      <family val="2"/>
    </font>
    <font>
      <sz val="11"/>
      <color theme="0"/>
      <name val="Verdana"/>
      <family val="2"/>
    </font>
    <font>
      <b/>
      <sz val="10"/>
      <color rgb="FF000000"/>
      <name val="Aptos Narrow"/>
      <family val="2"/>
      <scheme val="minor"/>
    </font>
    <font>
      <b/>
      <i/>
      <sz val="10"/>
      <color rgb="FF000000"/>
      <name val="Aptos Narrow"/>
      <family val="2"/>
      <scheme val="minor"/>
    </font>
    <font>
      <sz val="11"/>
      <color indexed="8"/>
      <name val="Arial"/>
      <family val="2"/>
    </font>
    <font>
      <u/>
      <sz val="12"/>
      <color theme="0"/>
      <name val="Verdana"/>
      <family val="2"/>
    </font>
    <font>
      <b/>
      <sz val="11"/>
      <color indexed="8"/>
      <name val="Arial"/>
      <family val="2"/>
    </font>
    <font>
      <b/>
      <i/>
      <sz val="14"/>
      <color theme="0"/>
      <name val="Verdana"/>
      <family val="2"/>
    </font>
    <font>
      <sz val="11"/>
      <color rgb="FFBF0000"/>
      <name val="Verdana"/>
      <family val="2"/>
    </font>
    <font>
      <b/>
      <i/>
      <sz val="20"/>
      <color theme="0"/>
      <name val="Verdana"/>
      <family val="2"/>
    </font>
    <font>
      <sz val="12"/>
      <name val="Verdana"/>
      <family val="2"/>
    </font>
    <font>
      <b/>
      <sz val="14"/>
      <name val="Verdana"/>
      <family val="2"/>
    </font>
    <font>
      <b/>
      <i/>
      <sz val="12"/>
      <color rgb="FF000000"/>
      <name val="Verdana"/>
      <family val="2"/>
    </font>
    <font>
      <b/>
      <i/>
      <sz val="12"/>
      <color indexed="8"/>
      <name val="Verdana"/>
      <family val="2"/>
    </font>
    <font>
      <b/>
      <sz val="11"/>
      <color theme="0"/>
      <name val="Verdana"/>
      <family val="2"/>
    </font>
    <font>
      <b/>
      <sz val="11"/>
      <name val="Verdana"/>
      <family val="2"/>
    </font>
    <font>
      <i/>
      <sz val="11"/>
      <color rgb="FF000000"/>
      <name val="Verdana"/>
      <family val="2"/>
    </font>
    <font>
      <sz val="11"/>
      <color rgb="FFFF0000"/>
      <name val="Arial"/>
      <family val="2"/>
    </font>
    <font>
      <sz val="10"/>
      <color theme="0"/>
      <name val="Aptos Narrow"/>
      <family val="2"/>
      <scheme val="minor"/>
    </font>
    <font>
      <b/>
      <i/>
      <sz val="14"/>
      <color rgb="FFFF0000"/>
      <name val="Verdana"/>
      <family val="2"/>
    </font>
    <font>
      <i/>
      <sz val="11"/>
      <color indexed="8"/>
      <name val="Verdana"/>
      <family val="2"/>
    </font>
    <font>
      <i/>
      <sz val="11"/>
      <name val="Verdana"/>
      <family val="2"/>
    </font>
    <font>
      <b/>
      <sz val="14"/>
      <color rgb="FF000000"/>
      <name val="Verdana"/>
      <family val="2"/>
    </font>
    <font>
      <b/>
      <i/>
      <sz val="11"/>
      <color theme="1"/>
      <name val="Verdana"/>
      <family val="2"/>
    </font>
    <font>
      <sz val="12"/>
      <color rgb="FFC00000"/>
      <name val="Verdana"/>
      <family val="2"/>
    </font>
    <font>
      <b/>
      <sz val="14"/>
      <color rgb="FFC00000"/>
      <name val="Verdana"/>
      <family val="2"/>
    </font>
    <font>
      <u/>
      <sz val="12"/>
      <color rgb="FFC00000"/>
      <name val="Verdana"/>
      <family val="2"/>
    </font>
    <font>
      <sz val="10"/>
      <color indexed="8"/>
      <name val="Arial"/>
      <family val="2"/>
    </font>
    <font>
      <sz val="11"/>
      <color rgb="FF1A1A1A"/>
      <name val="Arial"/>
      <family val="2"/>
    </font>
    <font>
      <sz val="10"/>
      <name val="Aptos Narrow"/>
      <family val="2"/>
      <scheme val="minor"/>
    </font>
    <font>
      <b/>
      <sz val="20"/>
      <color rgb="FFFFFFFF"/>
      <name val="Verdana"/>
      <family val="2"/>
    </font>
    <font>
      <b/>
      <i/>
      <sz val="20"/>
      <color rgb="FFFFFFFF"/>
      <name val="Verdana"/>
      <family val="2"/>
    </font>
  </fonts>
  <fills count="28">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
      <patternFill patternType="solid">
        <fgColor rgb="FFD9EAD3"/>
        <bgColor rgb="FFD9EAD3"/>
      </patternFill>
    </fill>
    <fill>
      <patternFill patternType="solid">
        <fgColor theme="7" tint="0.79998168889431442"/>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2"/>
        <bgColor rgb="FFD9D2E9"/>
      </patternFill>
    </fill>
    <fill>
      <patternFill patternType="solid">
        <fgColor rgb="FFD0DAF0"/>
        <bgColor indexed="64"/>
      </patternFill>
    </fill>
    <fill>
      <patternFill patternType="solid">
        <fgColor rgb="FF00636C"/>
        <bgColor indexed="64"/>
      </patternFill>
    </fill>
    <fill>
      <patternFill patternType="solid">
        <fgColor rgb="FFE0B233"/>
        <bgColor indexed="64"/>
      </patternFill>
    </fill>
    <fill>
      <patternFill patternType="solid">
        <fgColor rgb="FF7ECCA0"/>
        <bgColor indexed="64"/>
      </patternFill>
    </fill>
    <fill>
      <patternFill patternType="solid">
        <fgColor rgb="FF4C6BB3"/>
        <bgColor indexed="64"/>
      </patternFill>
    </fill>
    <fill>
      <patternFill patternType="solid">
        <fgColor rgb="FFE0B233"/>
        <bgColor theme="4"/>
      </patternFill>
    </fill>
    <fill>
      <patternFill patternType="solid">
        <fgColor rgb="FFFDEEC5"/>
        <bgColor indexed="64"/>
      </patternFill>
    </fill>
    <fill>
      <patternFill patternType="solid">
        <fgColor rgb="FFBF0000"/>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FFFF00"/>
        <bgColor indexed="64"/>
      </patternFill>
    </fill>
  </fills>
  <borders count="5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right style="thin">
        <color auto="1"/>
      </right>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right style="medium">
        <color indexed="64"/>
      </right>
      <top/>
      <bottom/>
      <diagonal/>
    </border>
  </borders>
  <cellStyleXfs count="4">
    <xf numFmtId="0" fontId="0" fillId="0" borderId="0" applyNumberFormat="0" applyFill="0" applyBorder="0" applyProtection="0">
      <alignment vertical="top" wrapText="1"/>
    </xf>
    <xf numFmtId="0" fontId="8" fillId="0" borderId="0"/>
    <xf numFmtId="0" fontId="25" fillId="0" borderId="0" applyNumberFormat="0" applyFill="0" applyBorder="0" applyAlignment="0" applyProtection="0">
      <alignment vertical="top" wrapText="1"/>
    </xf>
    <xf numFmtId="0" fontId="22" fillId="0" borderId="0" applyNumberFormat="0" applyFill="0" applyBorder="0" applyProtection="0">
      <alignment vertical="top" wrapText="1"/>
    </xf>
  </cellStyleXfs>
  <cellXfs count="379">
    <xf numFmtId="0" fontId="0" fillId="0" borderId="0" xfId="0">
      <alignment vertical="top" wrapText="1"/>
    </xf>
    <xf numFmtId="0" fontId="4" fillId="0" borderId="0" xfId="0" applyNumberFormat="1" applyFont="1" applyAlignment="1"/>
    <xf numFmtId="0" fontId="8" fillId="0" borderId="0" xfId="1" applyAlignment="1">
      <alignment vertical="top" wrapText="1"/>
    </xf>
    <xf numFmtId="0" fontId="11" fillId="0" borderId="0" xfId="1" applyFont="1" applyAlignment="1">
      <alignment vertical="top" wrapText="1"/>
    </xf>
    <xf numFmtId="0" fontId="10" fillId="0" borderId="0" xfId="1" applyFont="1" applyAlignment="1">
      <alignment vertical="top" wrapText="1"/>
    </xf>
    <xf numFmtId="0" fontId="8" fillId="0" borderId="0" xfId="1"/>
    <xf numFmtId="0" fontId="12" fillId="0" borderId="0" xfId="1" applyFont="1"/>
    <xf numFmtId="0" fontId="13" fillId="0" borderId="0" xfId="1" applyFont="1"/>
    <xf numFmtId="0" fontId="4" fillId="0" borderId="0" xfId="0" applyNumberFormat="1" applyFont="1" applyAlignment="1">
      <alignment horizontal="center" vertical="center"/>
    </xf>
    <xf numFmtId="0" fontId="4" fillId="0" borderId="0" xfId="0" applyNumberFormat="1" applyFont="1" applyAlignment="1">
      <alignment wrapText="1"/>
    </xf>
    <xf numFmtId="0" fontId="15" fillId="0" borderId="0" xfId="0" applyNumberFormat="1" applyFont="1" applyBorder="1" applyAlignment="1">
      <alignment wrapText="1"/>
    </xf>
    <xf numFmtId="0" fontId="19" fillId="3" borderId="5" xfId="0" applyNumberFormat="1" applyFont="1" applyFill="1" applyBorder="1" applyAlignment="1">
      <alignment vertical="center"/>
    </xf>
    <xf numFmtId="0" fontId="19" fillId="3" borderId="3" xfId="0" applyNumberFormat="1" applyFont="1" applyFill="1" applyBorder="1" applyAlignment="1">
      <alignment vertical="center"/>
    </xf>
    <xf numFmtId="0" fontId="19" fillId="3" borderId="5" xfId="0" applyNumberFormat="1" applyFont="1" applyFill="1" applyBorder="1" applyAlignment="1">
      <alignment horizontal="center" vertical="center" wrapText="1"/>
    </xf>
    <xf numFmtId="1" fontId="19" fillId="3" borderId="5" xfId="0" applyNumberFormat="1" applyFont="1" applyFill="1" applyBorder="1" applyAlignment="1">
      <alignment horizontal="left" vertical="center" wrapText="1"/>
    </xf>
    <xf numFmtId="1" fontId="20" fillId="3" borderId="5" xfId="0" applyNumberFormat="1" applyFont="1" applyFill="1" applyBorder="1" applyAlignment="1">
      <alignment horizontal="left" vertical="center" wrapText="1"/>
    </xf>
    <xf numFmtId="0" fontId="14" fillId="4" borderId="0" xfId="0" applyNumberFormat="1" applyFont="1" applyFill="1" applyBorder="1" applyAlignment="1">
      <alignment vertical="center"/>
    </xf>
    <xf numFmtId="1" fontId="20" fillId="3" borderId="3" xfId="0" applyNumberFormat="1" applyFont="1" applyFill="1" applyBorder="1" applyAlignment="1">
      <alignment horizontal="left" vertical="center" wrapText="1"/>
    </xf>
    <xf numFmtId="0" fontId="16" fillId="2" borderId="7" xfId="0" applyNumberFormat="1" applyFont="1" applyFill="1" applyBorder="1" applyAlignment="1">
      <alignment horizontal="left" vertical="center" wrapText="1"/>
    </xf>
    <xf numFmtId="0" fontId="4" fillId="2" borderId="3" xfId="0" applyFont="1" applyFill="1" applyBorder="1" applyAlignment="1">
      <alignment vertical="center" wrapText="1"/>
    </xf>
    <xf numFmtId="0" fontId="16" fillId="2" borderId="3" xfId="0" applyNumberFormat="1" applyFont="1" applyFill="1" applyBorder="1" applyAlignment="1">
      <alignment horizontal="left" vertical="center" wrapText="1"/>
    </xf>
    <xf numFmtId="0" fontId="16" fillId="10" borderId="3" xfId="0" applyNumberFormat="1" applyFont="1" applyFill="1" applyBorder="1" applyAlignment="1">
      <alignment horizontal="center" vertical="center" wrapText="1"/>
    </xf>
    <xf numFmtId="0" fontId="19" fillId="3" borderId="2" xfId="0" applyNumberFormat="1" applyFont="1" applyFill="1" applyBorder="1" applyAlignment="1">
      <alignment vertical="center"/>
    </xf>
    <xf numFmtId="0" fontId="22" fillId="0" borderId="0" xfId="0" applyFont="1">
      <alignment vertical="top" wrapText="1"/>
    </xf>
    <xf numFmtId="0" fontId="3" fillId="2" borderId="0" xfId="0" applyNumberFormat="1" applyFont="1" applyFill="1" applyBorder="1" applyAlignment="1">
      <alignment vertical="center"/>
    </xf>
    <xf numFmtId="0" fontId="6" fillId="0" borderId="0" xfId="0" applyFont="1" applyFill="1" applyBorder="1" applyAlignment="1">
      <alignment vertical="center"/>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0" xfId="0" applyFont="1" applyAlignment="1">
      <alignment horizontal="center" vertical="center" wrapText="1"/>
    </xf>
    <xf numFmtId="0" fontId="22" fillId="0" borderId="14" xfId="0" applyFont="1" applyBorder="1" applyAlignment="1">
      <alignment horizontal="center" vertical="center" wrapText="1"/>
    </xf>
    <xf numFmtId="0" fontId="19" fillId="3" borderId="5" xfId="0" applyNumberFormat="1" applyFont="1" applyFill="1" applyBorder="1" applyAlignment="1">
      <alignment horizontal="center" vertical="center"/>
    </xf>
    <xf numFmtId="0" fontId="21" fillId="0" borderId="4" xfId="0" applyNumberFormat="1" applyFont="1" applyFill="1" applyBorder="1" applyAlignment="1">
      <alignment vertical="center" wrapText="1"/>
    </xf>
    <xf numFmtId="0" fontId="21" fillId="0" borderId="4" xfId="0" applyNumberFormat="1" applyFont="1" applyFill="1" applyBorder="1" applyAlignment="1">
      <alignment vertical="center"/>
    </xf>
    <xf numFmtId="0" fontId="22" fillId="0" borderId="3" xfId="0" applyFont="1" applyBorder="1" applyAlignment="1">
      <alignment vertical="center" wrapText="1"/>
    </xf>
    <xf numFmtId="0" fontId="27" fillId="0" borderId="0" xfId="0" applyNumberFormat="1" applyFont="1" applyAlignment="1"/>
    <xf numFmtId="164" fontId="18" fillId="10" borderId="4" xfId="0" applyNumberFormat="1" applyFont="1" applyFill="1" applyBorder="1" applyAlignment="1">
      <alignment horizontal="left" vertical="center"/>
    </xf>
    <xf numFmtId="0" fontId="17" fillId="2" borderId="1" xfId="0" applyNumberFormat="1" applyFont="1" applyFill="1" applyBorder="1" applyAlignment="1">
      <alignment vertical="center"/>
    </xf>
    <xf numFmtId="0" fontId="17" fillId="2" borderId="2" xfId="0" applyNumberFormat="1" applyFont="1" applyFill="1" applyBorder="1" applyAlignment="1">
      <alignment vertical="center"/>
    </xf>
    <xf numFmtId="0" fontId="27" fillId="11" borderId="3" xfId="0" applyFont="1" applyFill="1" applyBorder="1" applyAlignment="1">
      <alignment vertical="center" wrapText="1"/>
    </xf>
    <xf numFmtId="0" fontId="15" fillId="0" borderId="0" xfId="0" applyNumberFormat="1" applyFont="1" applyBorder="1" applyAlignment="1">
      <alignment vertical="center" wrapText="1"/>
    </xf>
    <xf numFmtId="0" fontId="4" fillId="0" borderId="0" xfId="0" applyNumberFormat="1" applyFont="1" applyAlignment="1">
      <alignment vertical="center"/>
    </xf>
    <xf numFmtId="0" fontId="17" fillId="4" borderId="0" xfId="0" applyNumberFormat="1" applyFont="1" applyFill="1" applyBorder="1" applyAlignment="1">
      <alignment vertical="center"/>
    </xf>
    <xf numFmtId="0" fontId="23"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2" fillId="0" borderId="15" xfId="0" applyFont="1" applyBorder="1" applyAlignment="1">
      <alignment horizontal="center" vertical="center" wrapText="1"/>
      <extLst>
        <ext xmlns:xfpb="http://schemas.microsoft.com/office/spreadsheetml/2022/featurepropertybag" uri="{C7286773-470A-42A8-94C5-96B5CB345126}">
          <xfpb:xfComplement i="0"/>
        </ext>
      </extLst>
    </xf>
    <xf numFmtId="0" fontId="22" fillId="0" borderId="20"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2" xfId="0" applyNumberFormat="1" applyFont="1" applyBorder="1" applyAlignment="1"/>
    <xf numFmtId="0" fontId="1" fillId="0" borderId="0" xfId="3" applyFont="1" applyAlignment="1">
      <alignment vertical="top" shrinkToFit="1"/>
    </xf>
    <xf numFmtId="0" fontId="4" fillId="0" borderId="0" xfId="3" applyNumberFormat="1" applyFont="1" applyAlignment="1"/>
    <xf numFmtId="0" fontId="4" fillId="0" borderId="0" xfId="3" applyNumberFormat="1" applyFont="1" applyAlignment="1">
      <alignment horizontal="center" vertical="center"/>
    </xf>
    <xf numFmtId="0" fontId="4" fillId="0" borderId="0" xfId="3" applyNumberFormat="1" applyFont="1" applyAlignment="1">
      <alignment wrapText="1"/>
    </xf>
    <xf numFmtId="0" fontId="22" fillId="0" borderId="0" xfId="3">
      <alignment vertical="top" wrapText="1"/>
    </xf>
    <xf numFmtId="0" fontId="19" fillId="3" borderId="3" xfId="3" applyNumberFormat="1" applyFont="1" applyFill="1" applyBorder="1" applyAlignment="1">
      <alignment horizontal="center" vertical="center" wrapText="1"/>
    </xf>
    <xf numFmtId="0" fontId="16" fillId="2" borderId="3" xfId="3" applyNumberFormat="1" applyFont="1" applyFill="1" applyBorder="1" applyAlignment="1">
      <alignment vertical="center" wrapText="1"/>
    </xf>
    <xf numFmtId="0" fontId="1" fillId="0" borderId="0" xfId="3" applyFont="1" applyFill="1" applyAlignment="1">
      <alignment vertical="top" shrinkToFit="1"/>
    </xf>
    <xf numFmtId="0" fontId="22" fillId="0" borderId="0" xfId="3" applyAlignment="1">
      <alignment horizontal="left" vertical="center" wrapText="1"/>
    </xf>
    <xf numFmtId="0" fontId="22" fillId="0" borderId="0" xfId="3" applyFill="1">
      <alignment vertical="top" wrapText="1"/>
    </xf>
    <xf numFmtId="0" fontId="14" fillId="4" borderId="0" xfId="3" applyNumberFormat="1" applyFont="1" applyFill="1" applyBorder="1" applyAlignment="1">
      <alignment horizontal="left" vertical="center" wrapText="1"/>
    </xf>
    <xf numFmtId="0" fontId="8" fillId="0" borderId="0" xfId="1" applyAlignment="1">
      <alignment horizontal="center"/>
    </xf>
    <xf numFmtId="0" fontId="19" fillId="3" borderId="3" xfId="3" applyNumberFormat="1" applyFont="1" applyFill="1" applyBorder="1" applyAlignment="1">
      <alignment vertical="center"/>
    </xf>
    <xf numFmtId="0" fontId="16" fillId="2" borderId="3" xfId="3" applyNumberFormat="1" applyFont="1" applyFill="1" applyBorder="1" applyAlignment="1">
      <alignment vertical="center"/>
    </xf>
    <xf numFmtId="0" fontId="3" fillId="2" borderId="0" xfId="3" applyNumberFormat="1" applyFont="1" applyFill="1" applyBorder="1" applyAlignment="1">
      <alignment vertical="center"/>
    </xf>
    <xf numFmtId="164" fontId="18" fillId="10" borderId="1" xfId="0" applyNumberFormat="1" applyFont="1" applyFill="1" applyBorder="1" applyAlignment="1">
      <alignment horizontal="center" vertical="center"/>
    </xf>
    <xf numFmtId="0" fontId="14" fillId="4" borderId="0" xfId="0" applyNumberFormat="1" applyFont="1" applyFill="1" applyBorder="1" applyAlignment="1">
      <alignment horizontal="center" vertical="center"/>
    </xf>
    <xf numFmtId="0" fontId="21" fillId="0" borderId="1"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NumberFormat="1" applyFont="1" applyAlignment="1">
      <alignment horizontal="center" wrapText="1"/>
    </xf>
    <xf numFmtId="0" fontId="27"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22" fillId="0" borderId="15" xfId="0" applyFont="1" applyBorder="1" applyAlignment="1">
      <alignment horizontal="center" vertical="center" wrapText="1"/>
    </xf>
    <xf numFmtId="0" fontId="21" fillId="0" borderId="1" xfId="0" applyNumberFormat="1" applyFont="1" applyFill="1" applyBorder="1" applyAlignment="1">
      <alignment horizontal="left" vertical="center"/>
    </xf>
    <xf numFmtId="0" fontId="27" fillId="0" borderId="1" xfId="0" applyNumberFormat="1" applyFont="1" applyFill="1" applyBorder="1" applyAlignment="1">
      <alignment horizontal="left" vertical="center"/>
    </xf>
    <xf numFmtId="0" fontId="17" fillId="2" borderId="4" xfId="0" applyNumberFormat="1" applyFont="1" applyFill="1" applyBorder="1" applyAlignment="1">
      <alignment vertical="center"/>
    </xf>
    <xf numFmtId="0" fontId="16" fillId="2" borderId="1" xfId="0" applyNumberFormat="1" applyFont="1" applyFill="1" applyBorder="1" applyAlignment="1">
      <alignment horizontal="left" vertical="center" wrapText="1"/>
    </xf>
    <xf numFmtId="1" fontId="20" fillId="3" borderId="24" xfId="0" applyNumberFormat="1" applyFont="1" applyFill="1" applyBorder="1" applyAlignment="1">
      <alignment horizontal="left" vertical="center" wrapText="1"/>
    </xf>
    <xf numFmtId="9" fontId="6" fillId="2" borderId="28" xfId="3" applyNumberFormat="1"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32" xfId="3" applyFont="1" applyFill="1" applyBorder="1" applyAlignment="1">
      <alignment horizontal="center" vertical="center" wrapText="1"/>
    </xf>
    <xf numFmtId="0" fontId="22" fillId="0" borderId="0" xfId="3" applyAlignment="1">
      <alignment vertical="center" wrapText="1"/>
    </xf>
    <xf numFmtId="0" fontId="7" fillId="0" borderId="33" xfId="3" applyFont="1" applyBorder="1" applyAlignment="1">
      <alignment vertical="center"/>
    </xf>
    <xf numFmtId="0" fontId="6" fillId="2" borderId="28" xfId="3" applyFont="1" applyFill="1" applyBorder="1" applyAlignment="1">
      <alignment horizontal="center" vertical="center" wrapText="1"/>
    </xf>
    <xf numFmtId="0" fontId="31" fillId="0" borderId="0" xfId="3" applyFont="1" applyAlignment="1">
      <alignment vertical="center" wrapText="1"/>
    </xf>
    <xf numFmtId="0" fontId="31" fillId="0" borderId="0" xfId="3" applyFont="1" applyAlignment="1">
      <alignment horizontal="center" vertical="center" wrapText="1"/>
    </xf>
    <xf numFmtId="0" fontId="4" fillId="0" borderId="0" xfId="3" applyFont="1" applyAlignment="1">
      <alignment vertical="center" wrapText="1"/>
    </xf>
    <xf numFmtId="0" fontId="6" fillId="0" borderId="0" xfId="3" applyFont="1" applyBorder="1" applyAlignment="1">
      <alignment vertical="center" wrapText="1"/>
    </xf>
    <xf numFmtId="0" fontId="7" fillId="0" borderId="0" xfId="3" applyFont="1" applyFill="1" applyBorder="1" applyAlignment="1">
      <alignment horizontal="left" vertical="center"/>
    </xf>
    <xf numFmtId="0" fontId="33" fillId="0" borderId="0" xfId="1" applyFont="1"/>
    <xf numFmtId="0" fontId="34" fillId="0" borderId="0" xfId="1" applyFont="1"/>
    <xf numFmtId="0" fontId="34" fillId="0" borderId="0" xfId="1" applyFont="1" applyAlignment="1">
      <alignment horizontal="center"/>
    </xf>
    <xf numFmtId="0" fontId="4" fillId="0" borderId="0" xfId="3" applyFont="1" applyBorder="1" applyAlignment="1">
      <alignment horizontal="left" vertical="center"/>
    </xf>
    <xf numFmtId="0" fontId="4" fillId="0" borderId="0" xfId="3" applyFont="1" applyBorder="1" applyAlignment="1">
      <alignment horizontal="left" vertical="center" wrapText="1"/>
    </xf>
    <xf numFmtId="0" fontId="4" fillId="0" borderId="4" xfId="3" applyFont="1" applyBorder="1" applyAlignment="1">
      <alignment horizontal="left" vertical="center"/>
    </xf>
    <xf numFmtId="0" fontId="3" fillId="2" borderId="0" xfId="3" applyNumberFormat="1" applyFont="1" applyFill="1" applyBorder="1" applyAlignment="1">
      <alignment horizontal="left" vertical="center"/>
    </xf>
    <xf numFmtId="0" fontId="19" fillId="3" borderId="9" xfId="3" applyNumberFormat="1" applyFont="1" applyFill="1" applyBorder="1" applyAlignment="1">
      <alignment horizontal="left" vertical="center"/>
    </xf>
    <xf numFmtId="0" fontId="19" fillId="3" borderId="0" xfId="3" applyNumberFormat="1" applyFont="1" applyFill="1" applyBorder="1" applyAlignment="1">
      <alignment horizontal="left" vertical="center"/>
    </xf>
    <xf numFmtId="0" fontId="0" fillId="0" borderId="0" xfId="0" applyBorder="1">
      <alignment vertical="top" wrapText="1"/>
    </xf>
    <xf numFmtId="0" fontId="9" fillId="12" borderId="0" xfId="1" applyFont="1" applyFill="1" applyAlignment="1">
      <alignment horizontal="center" vertical="center" wrapText="1"/>
    </xf>
    <xf numFmtId="0" fontId="9" fillId="13" borderId="0" xfId="1" applyFont="1" applyFill="1" applyAlignment="1">
      <alignment horizontal="center" vertical="center" wrapText="1"/>
    </xf>
    <xf numFmtId="0" fontId="9" fillId="14" borderId="0" xfId="1" applyFont="1" applyFill="1" applyAlignment="1">
      <alignment horizontal="center" vertical="center" wrapText="1"/>
    </xf>
    <xf numFmtId="0" fontId="35" fillId="0" borderId="0" xfId="0" applyFont="1" applyBorder="1">
      <alignment vertical="top" wrapText="1"/>
    </xf>
    <xf numFmtId="0" fontId="6" fillId="2" borderId="30" xfId="3" applyFont="1" applyFill="1" applyBorder="1" applyAlignment="1">
      <alignment horizontal="center" vertical="center" wrapText="1"/>
    </xf>
    <xf numFmtId="0" fontId="6" fillId="2" borderId="29" xfId="3" applyFont="1" applyFill="1" applyBorder="1" applyAlignment="1">
      <alignment horizontal="center" vertical="center" wrapText="1"/>
    </xf>
    <xf numFmtId="3" fontId="7" fillId="0" borderId="5" xfId="3" applyNumberFormat="1" applyFont="1" applyBorder="1" applyAlignment="1">
      <alignment horizontal="center" vertical="center" wrapText="1"/>
    </xf>
    <xf numFmtId="3" fontId="6" fillId="2" borderId="31" xfId="3" applyNumberFormat="1" applyFont="1" applyFill="1" applyBorder="1" applyAlignment="1">
      <alignment horizontal="center" vertical="center" wrapText="1"/>
    </xf>
    <xf numFmtId="0" fontId="6" fillId="10" borderId="32" xfId="3" applyFont="1" applyFill="1" applyBorder="1" applyAlignment="1">
      <alignment horizontal="left" vertical="center" wrapText="1"/>
    </xf>
    <xf numFmtId="0" fontId="6" fillId="10" borderId="29" xfId="3" applyFont="1" applyFill="1" applyBorder="1" applyAlignment="1">
      <alignment horizontal="center" vertical="center" wrapText="1"/>
    </xf>
    <xf numFmtId="3" fontId="6" fillId="10" borderId="31" xfId="3" applyNumberFormat="1" applyFont="1" applyFill="1" applyBorder="1" applyAlignment="1">
      <alignment horizontal="center" vertical="center" wrapText="1"/>
    </xf>
    <xf numFmtId="9" fontId="6" fillId="10" borderId="28" xfId="3" applyNumberFormat="1" applyFont="1" applyFill="1" applyBorder="1" applyAlignment="1">
      <alignment horizontal="center" vertical="center" wrapText="1"/>
    </xf>
    <xf numFmtId="0" fontId="7" fillId="0" borderId="23" xfId="3" applyFont="1" applyBorder="1" applyAlignment="1">
      <alignment vertical="center"/>
      <extLst>
        <ext xmlns:xfpb="http://schemas.microsoft.com/office/spreadsheetml/2022/featurepropertybag" uri="{C7286773-470A-42A8-94C5-96B5CB345126}">
          <xfpb:xfComplement i="0"/>
        </ext>
      </extLst>
    </xf>
    <xf numFmtId="3" fontId="7" fillId="0" borderId="7" xfId="3" applyNumberFormat="1" applyFont="1" applyBorder="1" applyAlignment="1">
      <alignment horizontal="center" vertical="center" wrapText="1"/>
    </xf>
    <xf numFmtId="0" fontId="22" fillId="0" borderId="4" xfId="3" applyBorder="1" applyAlignment="1">
      <alignment vertical="center" wrapText="1"/>
    </xf>
    <xf numFmtId="0" fontId="22" fillId="0" borderId="21" xfId="3" applyBorder="1" applyAlignment="1">
      <alignment vertical="center" wrapText="1"/>
    </xf>
    <xf numFmtId="0" fontId="22" fillId="0" borderId="6" xfId="3" applyBorder="1" applyAlignment="1">
      <alignment vertical="center" wrapText="1"/>
    </xf>
    <xf numFmtId="0" fontId="22" fillId="0" borderId="36" xfId="3" applyBorder="1" applyAlignment="1">
      <alignment vertical="center" wrapText="1"/>
    </xf>
    <xf numFmtId="0" fontId="22" fillId="0" borderId="37" xfId="3" applyBorder="1" applyAlignment="1">
      <alignment vertical="center" wrapText="1"/>
    </xf>
    <xf numFmtId="0" fontId="22" fillId="0" borderId="38" xfId="3" applyBorder="1" applyAlignment="1">
      <alignment vertical="center" wrapText="1"/>
    </xf>
    <xf numFmtId="0" fontId="6" fillId="2" borderId="11" xfId="3" applyFont="1" applyFill="1" applyBorder="1" applyAlignment="1">
      <alignment horizontal="center" vertical="center" wrapText="1"/>
    </xf>
    <xf numFmtId="0" fontId="6" fillId="2" borderId="27" xfId="3" applyFont="1" applyFill="1" applyBorder="1" applyAlignment="1">
      <alignment horizontal="center" vertical="center" wrapText="1"/>
    </xf>
    <xf numFmtId="0" fontId="6" fillId="2" borderId="26" xfId="3" applyFont="1" applyFill="1" applyBorder="1" applyAlignment="1">
      <alignment horizontal="center" vertical="center" wrapText="1"/>
    </xf>
    <xf numFmtId="9" fontId="6" fillId="2" borderId="11" xfId="3" applyNumberFormat="1" applyFont="1" applyFill="1" applyBorder="1" applyAlignment="1">
      <alignment horizontal="center" vertical="center" wrapText="1"/>
    </xf>
    <xf numFmtId="9" fontId="6" fillId="2" borderId="27" xfId="3" applyNumberFormat="1" applyFont="1" applyFill="1" applyBorder="1" applyAlignment="1">
      <alignment horizontal="center" vertical="center" wrapText="1"/>
    </xf>
    <xf numFmtId="9" fontId="6" fillId="2" borderId="26" xfId="3" applyNumberFormat="1" applyFont="1" applyFill="1" applyBorder="1" applyAlignment="1">
      <alignment horizontal="center" vertical="center" wrapText="1"/>
    </xf>
    <xf numFmtId="0" fontId="25" fillId="3" borderId="5" xfId="2" applyNumberFormat="1" applyFill="1" applyBorder="1" applyAlignment="1">
      <alignment horizontal="center" vertical="center"/>
    </xf>
    <xf numFmtId="0" fontId="36" fillId="3" borderId="5" xfId="2" applyNumberFormat="1" applyFont="1" applyFill="1" applyBorder="1" applyAlignment="1">
      <alignment horizontal="center" vertical="center"/>
    </xf>
    <xf numFmtId="0" fontId="32" fillId="0" borderId="0" xfId="3" applyFont="1" applyBorder="1" applyAlignment="1" applyProtection="1">
      <alignment vertical="center" shrinkToFit="1"/>
    </xf>
    <xf numFmtId="0" fontId="4" fillId="0" borderId="0" xfId="3" applyFont="1" applyBorder="1" applyAlignment="1">
      <alignment vertical="center" wrapText="1"/>
    </xf>
    <xf numFmtId="0" fontId="4" fillId="0" borderId="1" xfId="3" applyFont="1" applyBorder="1" applyAlignment="1">
      <alignment horizontal="left" vertical="center"/>
    </xf>
    <xf numFmtId="0" fontId="4" fillId="0" borderId="42" xfId="3" applyFont="1" applyBorder="1" applyAlignment="1">
      <alignment horizontal="left" vertical="center"/>
    </xf>
    <xf numFmtId="0" fontId="4" fillId="0" borderId="43" xfId="3" applyFont="1" applyBorder="1" applyAlignment="1">
      <alignment horizontal="left" vertical="center"/>
    </xf>
    <xf numFmtId="0" fontId="6" fillId="0" borderId="44" xfId="3" applyFont="1" applyBorder="1" applyAlignment="1">
      <alignment vertical="center" wrapText="1"/>
    </xf>
    <xf numFmtId="0" fontId="6" fillId="0" borderId="37" xfId="3" applyFont="1" applyBorder="1" applyAlignment="1">
      <alignment vertical="center" wrapText="1"/>
    </xf>
    <xf numFmtId="0" fontId="4" fillId="0" borderId="47" xfId="3" applyFont="1" applyBorder="1" applyAlignment="1">
      <alignment horizontal="left" vertical="center"/>
    </xf>
    <xf numFmtId="0" fontId="6" fillId="0" borderId="48" xfId="3" applyFont="1" applyBorder="1" applyAlignment="1">
      <alignment vertical="center" wrapText="1"/>
    </xf>
    <xf numFmtId="0" fontId="6" fillId="2" borderId="41" xfId="3" applyFont="1" applyFill="1" applyBorder="1" applyAlignment="1">
      <alignment vertical="center" wrapText="1"/>
    </xf>
    <xf numFmtId="0" fontId="6" fillId="2" borderId="2" xfId="3" applyFont="1" applyFill="1" applyBorder="1" applyAlignment="1">
      <alignment vertical="center" wrapText="1"/>
    </xf>
    <xf numFmtId="0" fontId="6" fillId="2" borderId="46" xfId="3" applyFont="1" applyFill="1" applyBorder="1" applyAlignment="1">
      <alignment vertical="center" wrapText="1"/>
    </xf>
    <xf numFmtId="9" fontId="7" fillId="10" borderId="3" xfId="3" applyNumberFormat="1" applyFont="1" applyFill="1" applyBorder="1" applyAlignment="1">
      <alignment horizontal="center" vertical="center" wrapText="1"/>
    </xf>
    <xf numFmtId="9" fontId="7" fillId="10" borderId="5" xfId="3" applyNumberFormat="1" applyFont="1" applyFill="1" applyBorder="1" applyAlignment="1">
      <alignment horizontal="center" vertical="center" wrapText="1"/>
    </xf>
    <xf numFmtId="0" fontId="7" fillId="0" borderId="35" xfId="3" applyFont="1" applyBorder="1" applyAlignment="1">
      <alignment vertical="center"/>
    </xf>
    <xf numFmtId="0" fontId="7" fillId="0" borderId="39" xfId="3" applyFont="1" applyBorder="1" applyAlignment="1">
      <alignment vertical="center"/>
      <extLst>
        <ext xmlns:xfpb="http://schemas.microsoft.com/office/spreadsheetml/2022/featurepropertybag" uri="{C7286773-470A-42A8-94C5-96B5CB345126}">
          <xfpb:xfComplement i="0"/>
        </ext>
      </extLst>
    </xf>
    <xf numFmtId="3" fontId="7" fillId="0" borderId="34" xfId="3" applyNumberFormat="1" applyFont="1" applyBorder="1" applyAlignment="1">
      <alignment horizontal="center" vertical="center" wrapText="1"/>
    </xf>
    <xf numFmtId="9" fontId="7" fillId="10" borderId="24" xfId="3" applyNumberFormat="1" applyFont="1" applyFill="1" applyBorder="1" applyAlignment="1">
      <alignment horizontal="center" vertical="center" wrapText="1"/>
    </xf>
    <xf numFmtId="3" fontId="7" fillId="0" borderId="3" xfId="3" applyNumberFormat="1" applyFont="1" applyBorder="1" applyAlignment="1">
      <alignment horizontal="center" vertical="center" wrapText="1"/>
    </xf>
    <xf numFmtId="0" fontId="22" fillId="0" borderId="49" xfId="0" applyFont="1" applyBorder="1" applyAlignment="1">
      <alignment horizontal="center" vertical="center" wrapText="1"/>
      <extLst>
        <ext xmlns:xfpb="http://schemas.microsoft.com/office/spreadsheetml/2022/featurepropertybag" uri="{C7286773-470A-42A8-94C5-96B5CB345126}">
          <xfpb:xfComplement i="0"/>
        </ext>
      </extLst>
    </xf>
    <xf numFmtId="0" fontId="19" fillId="3" borderId="34" xfId="0" applyNumberFormat="1" applyFont="1" applyFill="1" applyBorder="1" applyAlignment="1">
      <alignment horizontal="center" vertical="center"/>
    </xf>
    <xf numFmtId="0" fontId="22" fillId="0" borderId="51"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2" borderId="2" xfId="0" applyFont="1" applyFill="1" applyBorder="1" applyAlignment="1">
      <alignment vertical="center" wrapText="1"/>
    </xf>
    <xf numFmtId="0" fontId="6" fillId="2" borderId="40" xfId="3" applyFont="1" applyFill="1" applyBorder="1" applyAlignment="1">
      <alignment vertical="center"/>
    </xf>
    <xf numFmtId="0" fontId="6" fillId="2" borderId="16" xfId="3" applyFont="1" applyFill="1" applyBorder="1" applyAlignment="1">
      <alignment vertical="center"/>
    </xf>
    <xf numFmtId="0" fontId="6" fillId="2" borderId="45" xfId="3" applyFont="1" applyFill="1" applyBorder="1" applyAlignment="1">
      <alignment vertical="center"/>
    </xf>
    <xf numFmtId="0" fontId="37" fillId="0" borderId="11" xfId="0" applyFont="1" applyFill="1" applyBorder="1">
      <alignment vertical="top" wrapText="1"/>
    </xf>
    <xf numFmtId="0" fontId="37" fillId="0" borderId="27" xfId="0" applyFont="1" applyBorder="1">
      <alignment vertical="top" wrapText="1"/>
    </xf>
    <xf numFmtId="0" fontId="37" fillId="0" borderId="26" xfId="0" applyFont="1" applyFill="1" applyBorder="1">
      <alignment vertical="top" wrapText="1"/>
    </xf>
    <xf numFmtId="0" fontId="6" fillId="2" borderId="27" xfId="3" applyFont="1" applyFill="1" applyBorder="1" applyAlignment="1">
      <alignment vertical="center"/>
    </xf>
    <xf numFmtId="0" fontId="6" fillId="2" borderId="26" xfId="3" applyFont="1" applyFill="1" applyBorder="1" applyAlignment="1">
      <alignment vertical="center"/>
    </xf>
    <xf numFmtId="0" fontId="14" fillId="4" borderId="0" xfId="3" applyNumberFormat="1" applyFont="1" applyFill="1" applyBorder="1" applyAlignment="1">
      <alignment vertical="center"/>
    </xf>
    <xf numFmtId="0" fontId="22" fillId="3" borderId="10" xfId="3" applyFill="1" applyBorder="1">
      <alignment vertical="top" wrapText="1"/>
    </xf>
    <xf numFmtId="1" fontId="39" fillId="2" borderId="7" xfId="0" applyNumberFormat="1" applyFont="1" applyFill="1" applyBorder="1" applyAlignment="1">
      <alignment vertical="center" wrapText="1"/>
    </xf>
    <xf numFmtId="0" fontId="2" fillId="17" borderId="0" xfId="0" applyNumberFormat="1" applyFont="1" applyFill="1" applyBorder="1" applyAlignment="1">
      <alignment vertical="center"/>
    </xf>
    <xf numFmtId="0" fontId="2" fillId="17" borderId="0" xfId="0" applyNumberFormat="1" applyFont="1" applyFill="1" applyBorder="1" applyAlignment="1">
      <alignment horizontal="center" vertical="center"/>
    </xf>
    <xf numFmtId="0" fontId="5" fillId="17" borderId="0" xfId="0" applyNumberFormat="1" applyFont="1" applyFill="1" applyBorder="1" applyAlignment="1">
      <alignment horizontal="center" vertical="center" wrapText="1"/>
    </xf>
    <xf numFmtId="0" fontId="4" fillId="0" borderId="0" xfId="0" applyNumberFormat="1" applyFont="1" applyFill="1" applyAlignment="1"/>
    <xf numFmtId="0" fontId="27" fillId="0" borderId="0" xfId="0" applyNumberFormat="1" applyFont="1" applyFill="1" applyAlignment="1"/>
    <xf numFmtId="0" fontId="2" fillId="18" borderId="0" xfId="3" applyNumberFormat="1" applyFont="1" applyFill="1" applyBorder="1" applyAlignment="1">
      <alignment horizontal="left" vertical="center"/>
    </xf>
    <xf numFmtId="0" fontId="5" fillId="18" borderId="0" xfId="3" applyNumberFormat="1" applyFont="1" applyFill="1" applyBorder="1" applyAlignment="1">
      <alignment horizontal="center" vertical="center" wrapText="1"/>
    </xf>
    <xf numFmtId="0" fontId="28" fillId="18" borderId="0" xfId="0" applyNumberFormat="1" applyFont="1" applyFill="1" applyBorder="1" applyAlignment="1">
      <alignment vertical="center"/>
    </xf>
    <xf numFmtId="0" fontId="28" fillId="18" borderId="0" xfId="3" applyNumberFormat="1" applyFont="1" applyFill="1" applyBorder="1" applyAlignment="1">
      <alignment horizontal="left" vertical="center"/>
    </xf>
    <xf numFmtId="0" fontId="29" fillId="18" borderId="0" xfId="3" applyNumberFormat="1" applyFont="1" applyFill="1" applyBorder="1" applyAlignment="1">
      <alignment horizontal="center" vertical="center" wrapText="1"/>
    </xf>
    <xf numFmtId="0" fontId="41" fillId="0" borderId="0" xfId="3" applyFont="1">
      <alignment vertical="top" wrapText="1"/>
    </xf>
    <xf numFmtId="0" fontId="28" fillId="18" borderId="0" xfId="0" applyNumberFormat="1" applyFont="1" applyFill="1" applyBorder="1" applyAlignment="1">
      <alignment horizontal="center" vertical="center"/>
    </xf>
    <xf numFmtId="0" fontId="41" fillId="0" borderId="0" xfId="0" applyFont="1">
      <alignment vertical="top" wrapText="1"/>
    </xf>
    <xf numFmtId="0" fontId="28" fillId="19" borderId="0" xfId="3" applyNumberFormat="1" applyFont="1" applyFill="1" applyBorder="1" applyAlignment="1">
      <alignment vertical="center"/>
    </xf>
    <xf numFmtId="0" fontId="5" fillId="20" borderId="17" xfId="0" applyFont="1" applyFill="1" applyBorder="1" applyAlignment="1">
      <alignment vertical="center"/>
    </xf>
    <xf numFmtId="0" fontId="5" fillId="20" borderId="18" xfId="0" applyFont="1" applyFill="1" applyBorder="1" applyAlignment="1">
      <alignment vertical="center"/>
    </xf>
    <xf numFmtId="0" fontId="5" fillId="20" borderId="19" xfId="0" applyFont="1" applyFill="1" applyBorder="1" applyAlignment="1">
      <alignment vertical="center"/>
    </xf>
    <xf numFmtId="0" fontId="22" fillId="16" borderId="3" xfId="0" applyFont="1" applyFill="1" applyBorder="1" applyAlignment="1">
      <alignment horizontal="center" vertical="center" wrapText="1"/>
    </xf>
    <xf numFmtId="0" fontId="27" fillId="16" borderId="3" xfId="0" applyFont="1" applyFill="1" applyBorder="1" applyAlignment="1">
      <alignment horizontal="center" vertical="center" wrapText="1"/>
    </xf>
    <xf numFmtId="0" fontId="42" fillId="21" borderId="10" xfId="0" applyFont="1" applyFill="1" applyBorder="1" applyAlignment="1">
      <alignment horizontal="center" vertical="center" wrapText="1"/>
    </xf>
    <xf numFmtId="0" fontId="22" fillId="22" borderId="8" xfId="0" applyFont="1" applyFill="1" applyBorder="1" applyAlignment="1">
      <alignment vertical="center" wrapText="1"/>
    </xf>
    <xf numFmtId="0" fontId="42" fillId="21" borderId="11" xfId="0" applyFont="1" applyFill="1" applyBorder="1" applyAlignment="1">
      <alignment horizontal="center" vertical="center" wrapText="1"/>
    </xf>
    <xf numFmtId="0" fontId="44" fillId="22" borderId="11" xfId="0" applyNumberFormat="1" applyFont="1" applyFill="1" applyBorder="1" applyAlignment="1">
      <alignment horizontal="center" vertical="center" wrapText="1"/>
    </xf>
    <xf numFmtId="0" fontId="43" fillId="22" borderId="11" xfId="0" applyNumberFormat="1" applyFont="1" applyFill="1" applyBorder="1" applyAlignment="1">
      <alignment horizontal="center" vertical="center" wrapText="1"/>
    </xf>
    <xf numFmtId="0" fontId="22" fillId="22" borderId="16" xfId="0" applyFont="1" applyFill="1" applyBorder="1" applyAlignment="1">
      <alignment vertical="center" wrapText="1"/>
    </xf>
    <xf numFmtId="0" fontId="22" fillId="22" borderId="50" xfId="0" applyFont="1" applyFill="1" applyBorder="1" applyAlignment="1">
      <alignment vertical="center" wrapText="1"/>
    </xf>
    <xf numFmtId="0" fontId="22" fillId="22" borderId="25" xfId="0" applyFont="1" applyFill="1" applyBorder="1" applyAlignment="1">
      <alignment vertical="center" wrapText="1"/>
    </xf>
    <xf numFmtId="0" fontId="22" fillId="22" borderId="16" xfId="0" applyFont="1" applyFill="1" applyBorder="1">
      <alignment vertical="top" wrapText="1"/>
    </xf>
    <xf numFmtId="0" fontId="4" fillId="0" borderId="39" xfId="0" applyNumberFormat="1" applyFont="1" applyBorder="1" applyAlignment="1">
      <alignment vertical="center"/>
    </xf>
    <xf numFmtId="0" fontId="5" fillId="17" borderId="39" xfId="0" applyNumberFormat="1" applyFont="1" applyFill="1" applyBorder="1" applyAlignment="1">
      <alignment horizontal="center" vertical="center" wrapText="1"/>
    </xf>
    <xf numFmtId="0" fontId="4" fillId="0" borderId="39" xfId="0" applyNumberFormat="1" applyFont="1" applyBorder="1" applyAlignment="1"/>
    <xf numFmtId="0" fontId="4" fillId="0" borderId="0" xfId="0" applyNumberFormat="1" applyFont="1" applyBorder="1" applyAlignment="1"/>
    <xf numFmtId="0" fontId="42" fillId="21" borderId="22" xfId="0" applyFont="1" applyFill="1" applyBorder="1" applyAlignment="1">
      <alignment horizontal="center" vertical="center" wrapText="1"/>
    </xf>
    <xf numFmtId="0" fontId="22" fillId="22" borderId="8" xfId="0" applyFont="1" applyFill="1" applyBorder="1">
      <alignment vertical="top" wrapText="1"/>
    </xf>
    <xf numFmtId="0" fontId="42" fillId="21" borderId="32" xfId="0" applyFont="1" applyFill="1" applyBorder="1" applyAlignment="1">
      <alignment horizontal="center" vertical="center" wrapText="1"/>
    </xf>
    <xf numFmtId="0" fontId="42" fillId="21" borderId="52" xfId="0" applyFont="1" applyFill="1" applyBorder="1" applyAlignment="1">
      <alignment horizontal="center" vertical="center" wrapText="1"/>
    </xf>
    <xf numFmtId="0" fontId="22" fillId="22" borderId="14" xfId="0" applyFont="1" applyFill="1" applyBorder="1" applyAlignment="1">
      <alignment vertical="center" wrapText="1"/>
    </xf>
    <xf numFmtId="0" fontId="22" fillId="3" borderId="0" xfId="3" applyFill="1" applyBorder="1">
      <alignment vertical="top" wrapText="1"/>
    </xf>
    <xf numFmtId="0" fontId="17" fillId="18" borderId="0" xfId="3" applyNumberFormat="1" applyFont="1" applyFill="1" applyBorder="1" applyAlignment="1">
      <alignment horizontal="center" vertical="center" wrapText="1"/>
    </xf>
    <xf numFmtId="0" fontId="45" fillId="3" borderId="34" xfId="0" applyNumberFormat="1" applyFont="1" applyFill="1" applyBorder="1" applyAlignment="1">
      <alignment horizontal="center" vertical="center"/>
    </xf>
    <xf numFmtId="0" fontId="46" fillId="21" borderId="35" xfId="0" applyFont="1" applyFill="1" applyBorder="1" applyAlignment="1">
      <alignment horizontal="center" vertical="center" wrapText="1"/>
    </xf>
    <xf numFmtId="0" fontId="0" fillId="0" borderId="3" xfId="0" applyBorder="1" applyAlignment="1">
      <alignment vertical="center" wrapText="1"/>
    </xf>
    <xf numFmtId="0" fontId="22" fillId="3" borderId="3" xfId="3" applyFill="1" applyBorder="1" applyAlignment="1">
      <alignment vertical="center" wrapText="1"/>
    </xf>
    <xf numFmtId="0" fontId="6" fillId="0" borderId="41" xfId="3" applyFont="1" applyBorder="1" applyAlignment="1">
      <alignment vertical="center" wrapText="1"/>
    </xf>
    <xf numFmtId="0" fontId="6" fillId="0" borderId="2" xfId="3" applyFont="1" applyBorder="1" applyAlignment="1">
      <alignment vertical="center" wrapText="1"/>
    </xf>
    <xf numFmtId="0" fontId="6" fillId="0" borderId="46" xfId="3" applyFont="1" applyBorder="1" applyAlignment="1">
      <alignment vertical="center" wrapText="1"/>
    </xf>
    <xf numFmtId="0" fontId="6" fillId="0" borderId="9" xfId="3" applyFont="1" applyBorder="1" applyAlignment="1">
      <alignment vertical="center" wrapText="1"/>
    </xf>
    <xf numFmtId="0" fontId="32" fillId="0" borderId="9" xfId="3" applyFont="1" applyBorder="1" applyAlignment="1" applyProtection="1">
      <alignment vertical="center" shrinkToFit="1"/>
    </xf>
    <xf numFmtId="0" fontId="8" fillId="0" borderId="0" xfId="1" applyAlignment="1">
      <alignment horizontal="left"/>
    </xf>
    <xf numFmtId="0" fontId="10" fillId="0" borderId="0" xfId="0" applyFont="1" applyAlignment="1">
      <alignment horizontal="left" vertical="center" wrapText="1" indent="1"/>
    </xf>
    <xf numFmtId="0" fontId="19" fillId="23" borderId="3" xfId="3" applyNumberFormat="1" applyFont="1" applyFill="1" applyBorder="1" applyAlignment="1">
      <alignment vertical="center"/>
    </xf>
    <xf numFmtId="0" fontId="19" fillId="23" borderId="2" xfId="0" applyNumberFormat="1" applyFont="1" applyFill="1" applyBorder="1" applyAlignment="1">
      <alignment vertical="center"/>
    </xf>
    <xf numFmtId="0" fontId="19" fillId="23" borderId="5" xfId="0" applyNumberFormat="1" applyFont="1" applyFill="1" applyBorder="1" applyAlignment="1">
      <alignment horizontal="center" vertical="center"/>
    </xf>
    <xf numFmtId="0" fontId="36" fillId="23" borderId="5" xfId="2" applyNumberFormat="1" applyFont="1" applyFill="1" applyBorder="1" applyAlignment="1">
      <alignment horizontal="center" vertical="center"/>
    </xf>
    <xf numFmtId="165" fontId="25" fillId="0" borderId="21" xfId="2" applyNumberFormat="1" applyBorder="1" applyAlignment="1">
      <alignment horizontal="left" vertical="center"/>
    </xf>
    <xf numFmtId="165" fontId="25" fillId="0" borderId="4" xfId="2" applyNumberFormat="1" applyBorder="1" applyAlignment="1">
      <alignment horizontal="left" vertical="center"/>
    </xf>
    <xf numFmtId="165" fontId="25" fillId="0" borderId="6" xfId="2" applyNumberFormat="1" applyBorder="1" applyAlignment="1">
      <alignment horizontal="left" vertical="center"/>
    </xf>
    <xf numFmtId="0" fontId="11" fillId="0" borderId="3" xfId="1" applyFont="1" applyBorder="1" applyAlignment="1">
      <alignment vertical="top" wrapText="1"/>
    </xf>
    <xf numFmtId="0" fontId="13" fillId="4" borderId="0" xfId="1" applyFont="1" applyFill="1" applyAlignment="1">
      <alignment horizontal="center"/>
    </xf>
    <xf numFmtId="0" fontId="8" fillId="4" borderId="0" xfId="1" applyFill="1" applyAlignment="1">
      <alignment horizontal="center"/>
    </xf>
    <xf numFmtId="0" fontId="13" fillId="4" borderId="0" xfId="1" applyFont="1" applyFill="1"/>
    <xf numFmtId="0" fontId="8" fillId="4" borderId="0" xfId="1" applyFill="1"/>
    <xf numFmtId="0" fontId="8" fillId="4" borderId="0" xfId="1" applyFill="1" applyAlignment="1">
      <alignment horizontal="left"/>
    </xf>
    <xf numFmtId="0" fontId="12" fillId="4" borderId="0" xfId="1" applyFont="1" applyFill="1"/>
    <xf numFmtId="0" fontId="33" fillId="4" borderId="0" xfId="1" applyFont="1" applyFill="1"/>
    <xf numFmtId="0" fontId="25" fillId="2" borderId="9" xfId="2" applyNumberFormat="1" applyFill="1" applyBorder="1" applyAlignment="1">
      <alignment vertical="center"/>
    </xf>
    <xf numFmtId="0" fontId="19" fillId="3" borderId="5" xfId="3" applyNumberFormat="1" applyFont="1" applyFill="1" applyBorder="1" applyAlignment="1">
      <alignment vertical="center"/>
    </xf>
    <xf numFmtId="0" fontId="25" fillId="2" borderId="0" xfId="2" applyNumberFormat="1" applyFill="1" applyBorder="1" applyAlignment="1">
      <alignment vertical="center"/>
    </xf>
    <xf numFmtId="0" fontId="29" fillId="2" borderId="0" xfId="2" applyNumberFormat="1" applyFont="1" applyFill="1" applyBorder="1" applyAlignment="1">
      <alignment vertical="center"/>
    </xf>
    <xf numFmtId="0" fontId="24" fillId="0" borderId="0" xfId="3" applyFont="1">
      <alignment vertical="top" wrapText="1"/>
    </xf>
    <xf numFmtId="0" fontId="32" fillId="0" borderId="0" xfId="0" applyNumberFormat="1" applyFont="1" applyAlignment="1">
      <alignment shrinkToFit="1"/>
    </xf>
    <xf numFmtId="0" fontId="1" fillId="0" borderId="0" xfId="0" applyFont="1" applyAlignment="1">
      <alignment vertical="top" shrinkToFit="1"/>
    </xf>
    <xf numFmtId="0" fontId="22" fillId="0" borderId="0" xfId="3" applyAlignment="1">
      <alignment vertical="top" shrinkToFit="1"/>
    </xf>
    <xf numFmtId="0" fontId="32" fillId="0" borderId="0" xfId="0" applyFont="1" applyAlignment="1">
      <alignment shrinkToFit="1"/>
    </xf>
    <xf numFmtId="0" fontId="1" fillId="0" borderId="0" xfId="0" applyFont="1" applyBorder="1" applyAlignment="1">
      <alignment vertical="top" shrinkToFit="1"/>
    </xf>
    <xf numFmtId="0" fontId="49" fillId="0" borderId="0" xfId="1" applyFont="1" applyAlignment="1">
      <alignment shrinkToFit="1"/>
    </xf>
    <xf numFmtId="0" fontId="49" fillId="0" borderId="0" xfId="1" applyFont="1" applyAlignment="1">
      <alignment vertical="top" shrinkToFit="1"/>
    </xf>
    <xf numFmtId="0" fontId="50" fillId="0" borderId="0" xfId="0" applyFont="1" applyAlignment="1">
      <alignment vertical="center"/>
    </xf>
    <xf numFmtId="0" fontId="25" fillId="4" borderId="0" xfId="2" applyNumberFormat="1" applyFill="1" applyBorder="1" applyAlignment="1">
      <alignment vertical="center"/>
    </xf>
    <xf numFmtId="0" fontId="18" fillId="4" borderId="0" xfId="0" applyNumberFormat="1" applyFont="1" applyFill="1" applyBorder="1" applyAlignment="1">
      <alignment vertical="center"/>
    </xf>
    <xf numFmtId="0" fontId="18" fillId="4" borderId="0" xfId="0" applyNumberFormat="1" applyFont="1" applyFill="1" applyBorder="1" applyAlignment="1">
      <alignment horizontal="center" vertical="center"/>
    </xf>
    <xf numFmtId="0" fontId="51" fillId="0" borderId="0" xfId="0" applyNumberFormat="1" applyFont="1" applyAlignment="1"/>
    <xf numFmtId="0" fontId="52" fillId="0" borderId="0" xfId="0" applyNumberFormat="1" applyFont="1" applyAlignment="1"/>
    <xf numFmtId="0" fontId="14" fillId="4" borderId="0" xfId="3" applyNumberFormat="1" applyFont="1" applyFill="1" applyBorder="1" applyAlignment="1">
      <alignment horizontal="left" vertical="center"/>
    </xf>
    <xf numFmtId="0" fontId="25" fillId="4" borderId="0" xfId="2" applyNumberFormat="1" applyFill="1" applyBorder="1" applyAlignment="1">
      <alignment horizontal="left" vertical="center"/>
    </xf>
    <xf numFmtId="0" fontId="16" fillId="0" borderId="0" xfId="0" applyNumberFormat="1" applyFont="1" applyFill="1" applyBorder="1" applyAlignment="1">
      <alignment horizontal="left" vertical="center" wrapText="1"/>
    </xf>
    <xf numFmtId="0" fontId="16" fillId="0" borderId="0" xfId="0" applyNumberFormat="1" applyFont="1" applyFill="1" applyBorder="1" applyAlignment="1">
      <alignment horizontal="center" vertical="center" wrapText="1"/>
    </xf>
    <xf numFmtId="0" fontId="27" fillId="0" borderId="0" xfId="0" applyFont="1" applyFill="1" applyBorder="1" applyAlignment="1">
      <alignment vertical="center" wrapText="1"/>
    </xf>
    <xf numFmtId="1" fontId="39" fillId="0" borderId="0" xfId="0" applyNumberFormat="1" applyFont="1" applyFill="1" applyBorder="1" applyAlignment="1">
      <alignment vertical="center" wrapText="1"/>
    </xf>
    <xf numFmtId="0" fontId="22" fillId="0" borderId="0" xfId="0" applyFont="1" applyFill="1" applyBorder="1">
      <alignment vertical="top" wrapText="1"/>
    </xf>
    <xf numFmtId="0" fontId="32" fillId="0" borderId="0" xfId="0" applyNumberFormat="1" applyFont="1" applyFill="1" applyAlignment="1">
      <alignment shrinkToFit="1"/>
    </xf>
    <xf numFmtId="0" fontId="4" fillId="0" borderId="18" xfId="3" applyFont="1" applyBorder="1" applyAlignment="1">
      <alignment horizontal="left" vertical="center" wrapText="1"/>
    </xf>
    <xf numFmtId="0" fontId="22" fillId="0" borderId="18" xfId="3" applyBorder="1">
      <alignment vertical="top" wrapText="1"/>
    </xf>
    <xf numFmtId="0" fontId="14" fillId="4" borderId="54" xfId="0" applyNumberFormat="1" applyFont="1" applyFill="1" applyBorder="1" applyAlignment="1">
      <alignment vertical="center"/>
    </xf>
    <xf numFmtId="0" fontId="14" fillId="4" borderId="39" xfId="0" applyNumberFormat="1" applyFont="1" applyFill="1" applyBorder="1" applyAlignment="1">
      <alignment vertical="center"/>
    </xf>
    <xf numFmtId="0" fontId="14" fillId="4" borderId="23" xfId="0" applyNumberFormat="1" applyFont="1" applyFill="1" applyBorder="1" applyAlignment="1">
      <alignment vertical="center"/>
    </xf>
    <xf numFmtId="0" fontId="18" fillId="4" borderId="23" xfId="0" applyNumberFormat="1" applyFont="1" applyFill="1" applyBorder="1" applyAlignment="1">
      <alignment vertical="center"/>
    </xf>
    <xf numFmtId="0" fontId="22" fillId="0" borderId="55" xfId="3" applyBorder="1" applyAlignment="1">
      <alignment vertical="center" wrapText="1"/>
    </xf>
    <xf numFmtId="0" fontId="4" fillId="0" borderId="0" xfId="0" applyFont="1" applyAlignment="1">
      <alignment vertical="top"/>
    </xf>
    <xf numFmtId="0" fontId="4" fillId="0" borderId="0" xfId="0" applyFont="1" applyAlignment="1">
      <alignment vertical="center"/>
    </xf>
    <xf numFmtId="0" fontId="4" fillId="19" borderId="0" xfId="0" applyFont="1" applyFill="1" applyAlignment="1">
      <alignment horizontal="right" vertical="center"/>
    </xf>
    <xf numFmtId="0" fontId="3" fillId="2" borderId="39" xfId="3" applyNumberFormat="1" applyFont="1" applyFill="1" applyBorder="1" applyAlignment="1">
      <alignment vertical="center"/>
    </xf>
    <xf numFmtId="0" fontId="3" fillId="2" borderId="23" xfId="3" applyNumberFormat="1" applyFont="1" applyFill="1" applyBorder="1" applyAlignment="1">
      <alignment vertical="center"/>
    </xf>
    <xf numFmtId="0" fontId="22" fillId="0" borderId="0" xfId="3" applyAlignment="1">
      <alignment vertical="top"/>
    </xf>
    <xf numFmtId="0" fontId="1" fillId="0" borderId="0" xfId="3" applyFont="1">
      <alignment vertical="top" wrapText="1"/>
    </xf>
    <xf numFmtId="0" fontId="2" fillId="17" borderId="0" xfId="0" applyNumberFormat="1" applyFont="1" applyFill="1" applyBorder="1" applyAlignment="1" applyProtection="1">
      <alignment vertical="center"/>
    </xf>
    <xf numFmtId="0" fontId="2" fillId="17" borderId="0" xfId="0" applyNumberFormat="1" applyFont="1" applyFill="1" applyBorder="1" applyAlignment="1" applyProtection="1">
      <alignment horizontal="center" vertical="center"/>
    </xf>
    <xf numFmtId="0" fontId="5" fillId="17" borderId="0"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vertical="center"/>
    </xf>
    <xf numFmtId="0" fontId="17" fillId="2" borderId="2" xfId="0" applyNumberFormat="1" applyFont="1" applyFill="1" applyBorder="1" applyAlignment="1" applyProtection="1">
      <alignment vertical="center"/>
    </xf>
    <xf numFmtId="164" fontId="18" fillId="10" borderId="4" xfId="0" applyNumberFormat="1" applyFont="1" applyFill="1" applyBorder="1" applyAlignment="1" applyProtection="1">
      <alignment horizontal="left" vertical="center"/>
    </xf>
    <xf numFmtId="0" fontId="4" fillId="0" borderId="2" xfId="0" applyNumberFormat="1" applyFont="1" applyBorder="1" applyAlignment="1" applyProtection="1"/>
    <xf numFmtId="0" fontId="19" fillId="3" borderId="5" xfId="0" applyNumberFormat="1" applyFont="1" applyFill="1" applyBorder="1" applyAlignment="1" applyProtection="1">
      <alignment vertical="center"/>
    </xf>
    <xf numFmtId="0" fontId="19" fillId="3" borderId="3" xfId="0" applyNumberFormat="1" applyFont="1" applyFill="1" applyBorder="1" applyAlignment="1" applyProtection="1">
      <alignment vertical="center"/>
    </xf>
    <xf numFmtId="0" fontId="19" fillId="3" borderId="5" xfId="0" applyNumberFormat="1" applyFont="1" applyFill="1" applyBorder="1" applyAlignment="1" applyProtection="1">
      <alignment horizontal="center" vertical="center" wrapText="1"/>
    </xf>
    <xf numFmtId="1" fontId="19" fillId="3" borderId="5" xfId="0" applyNumberFormat="1" applyFont="1" applyFill="1" applyBorder="1" applyAlignment="1" applyProtection="1">
      <alignment horizontal="left" vertical="center" wrapText="1"/>
    </xf>
    <xf numFmtId="1" fontId="20" fillId="3" borderId="5" xfId="0" applyNumberFormat="1" applyFont="1" applyFill="1" applyBorder="1" applyAlignment="1" applyProtection="1">
      <alignment horizontal="left" vertical="center" wrapText="1"/>
    </xf>
    <xf numFmtId="0" fontId="17"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horizontal="center" vertical="center"/>
    </xf>
    <xf numFmtId="0" fontId="14" fillId="4" borderId="54" xfId="0" applyNumberFormat="1" applyFont="1" applyFill="1" applyBorder="1" applyAlignment="1" applyProtection="1">
      <alignment vertical="center"/>
    </xf>
    <xf numFmtId="0" fontId="14" fillId="4" borderId="39" xfId="0" applyNumberFormat="1" applyFont="1" applyFill="1" applyBorder="1" applyAlignment="1" applyProtection="1">
      <alignment vertical="center"/>
    </xf>
    <xf numFmtId="0" fontId="18" fillId="4" borderId="0" xfId="0" applyNumberFormat="1" applyFont="1" applyFill="1" applyBorder="1" applyAlignment="1" applyProtection="1">
      <alignment vertical="center"/>
    </xf>
    <xf numFmtId="0" fontId="25" fillId="4" borderId="0" xfId="2" applyNumberFormat="1" applyFill="1" applyBorder="1" applyAlignment="1" applyProtection="1">
      <alignment vertical="center"/>
    </xf>
    <xf numFmtId="0" fontId="14" fillId="4" borderId="23" xfId="0" applyNumberFormat="1" applyFont="1" applyFill="1" applyBorder="1" applyAlignment="1" applyProtection="1">
      <alignment vertical="center"/>
    </xf>
    <xf numFmtId="0" fontId="19" fillId="3" borderId="3" xfId="3" applyNumberFormat="1" applyFont="1" applyFill="1" applyBorder="1" applyAlignment="1" applyProtection="1">
      <alignment vertical="center"/>
    </xf>
    <xf numFmtId="0" fontId="19" fillId="3" borderId="3" xfId="0" applyNumberFormat="1" applyFont="1" applyFill="1" applyBorder="1" applyAlignment="1" applyProtection="1">
      <alignment horizontal="center" vertical="center"/>
    </xf>
    <xf numFmtId="1" fontId="20" fillId="3" borderId="3" xfId="0" applyNumberFormat="1" applyFont="1" applyFill="1" applyBorder="1" applyAlignment="1" applyProtection="1">
      <alignment horizontal="left" vertical="center" wrapText="1"/>
    </xf>
    <xf numFmtId="0" fontId="17" fillId="4" borderId="0" xfId="3" applyNumberFormat="1" applyFont="1" applyFill="1" applyBorder="1" applyAlignment="1">
      <alignment vertical="center"/>
    </xf>
    <xf numFmtId="0" fontId="17" fillId="4" borderId="0" xfId="3" applyNumberFormat="1" applyFont="1" applyFill="1" applyBorder="1" applyAlignment="1">
      <alignment horizontal="left" vertical="center" wrapText="1"/>
    </xf>
    <xf numFmtId="0" fontId="53" fillId="2" borderId="11" xfId="3" applyFont="1" applyFill="1" applyBorder="1" applyAlignment="1">
      <alignment vertical="center"/>
    </xf>
    <xf numFmtId="0" fontId="19" fillId="24" borderId="3" xfId="3" applyNumberFormat="1" applyFont="1" applyFill="1" applyBorder="1" applyAlignment="1">
      <alignment vertical="center"/>
    </xf>
    <xf numFmtId="0" fontId="19" fillId="24" borderId="3" xfId="3" applyNumberFormat="1" applyFont="1" applyFill="1" applyBorder="1" applyAlignment="1">
      <alignment horizontal="center" vertical="center" wrapText="1"/>
    </xf>
    <xf numFmtId="0" fontId="22" fillId="24" borderId="0" xfId="3" applyFill="1">
      <alignment vertical="top" wrapText="1"/>
    </xf>
    <xf numFmtId="0" fontId="54" fillId="4" borderId="3" xfId="3" applyNumberFormat="1" applyFont="1" applyFill="1" applyBorder="1" applyAlignment="1">
      <alignment vertical="center"/>
    </xf>
    <xf numFmtId="0" fontId="22" fillId="0" borderId="1" xfId="0" applyFont="1" applyBorder="1" applyAlignment="1">
      <alignment horizontal="left" vertical="center"/>
    </xf>
    <xf numFmtId="0" fontId="22" fillId="0" borderId="37" xfId="0" applyFont="1" applyBorder="1" applyAlignment="1">
      <alignment vertical="center" wrapText="1"/>
    </xf>
    <xf numFmtId="0" fontId="22" fillId="0" borderId="1" xfId="0" applyFont="1" applyBorder="1" applyAlignment="1">
      <alignment horizontal="center" vertical="center" wrapText="1"/>
    </xf>
    <xf numFmtId="0" fontId="22" fillId="0" borderId="2" xfId="0" applyFont="1" applyBorder="1" applyAlignment="1">
      <alignment vertical="center" wrapText="1"/>
    </xf>
    <xf numFmtId="0" fontId="23" fillId="0" borderId="27" xfId="0" applyFont="1" applyBorder="1" applyAlignment="1">
      <alignment horizontal="center" vertical="center" wrapText="1"/>
    </xf>
    <xf numFmtId="0" fontId="2" fillId="17" borderId="0" xfId="0" applyNumberFormat="1" applyFont="1" applyFill="1" applyBorder="1" applyAlignment="1">
      <alignment vertical="center" wrapText="1"/>
    </xf>
    <xf numFmtId="164" fontId="18" fillId="10" borderId="4" xfId="0" applyNumberFormat="1" applyFont="1" applyFill="1" applyBorder="1" applyAlignment="1">
      <alignment horizontal="left" vertical="center" wrapText="1"/>
    </xf>
    <xf numFmtId="0" fontId="14" fillId="4" borderId="0" xfId="0" applyNumberFormat="1" applyFont="1" applyFill="1" applyBorder="1" applyAlignment="1">
      <alignment vertical="center" wrapText="1"/>
    </xf>
    <xf numFmtId="0" fontId="19" fillId="3" borderId="3" xfId="0" applyNumberFormat="1" applyFont="1" applyFill="1" applyBorder="1" applyAlignment="1">
      <alignment horizontal="center" vertical="center" wrapText="1"/>
    </xf>
    <xf numFmtId="0" fontId="27" fillId="0" borderId="1" xfId="0" applyNumberFormat="1" applyFont="1" applyFill="1" applyBorder="1" applyAlignment="1">
      <alignment vertical="center" wrapText="1"/>
    </xf>
    <xf numFmtId="0" fontId="27" fillId="0" borderId="2" xfId="0" applyNumberFormat="1" applyFont="1" applyFill="1" applyBorder="1" applyAlignment="1">
      <alignment vertical="center" wrapText="1"/>
    </xf>
    <xf numFmtId="0" fontId="27" fillId="0" borderId="0" xfId="0" applyNumberFormat="1" applyFont="1" applyFill="1" applyBorder="1" applyAlignment="1">
      <alignment vertical="center" wrapText="1"/>
    </xf>
    <xf numFmtId="0" fontId="16" fillId="0" borderId="1" xfId="0" applyNumberFormat="1" applyFont="1" applyFill="1" applyBorder="1" applyAlignment="1">
      <alignment vertical="center" wrapText="1"/>
    </xf>
    <xf numFmtId="0" fontId="16" fillId="0" borderId="3" xfId="0" applyNumberFormat="1" applyFont="1" applyFill="1" applyBorder="1" applyAlignment="1">
      <alignment vertical="center" wrapText="1"/>
    </xf>
    <xf numFmtId="0" fontId="16" fillId="0" borderId="2" xfId="0" applyNumberFormat="1" applyFont="1" applyFill="1" applyBorder="1" applyAlignment="1">
      <alignment vertical="center" wrapText="1"/>
    </xf>
    <xf numFmtId="0" fontId="16" fillId="0" borderId="0" xfId="0" applyNumberFormat="1" applyFont="1" applyFill="1" applyBorder="1" applyAlignment="1">
      <alignment vertical="center" wrapText="1"/>
    </xf>
    <xf numFmtId="0" fontId="18" fillId="4" borderId="0" xfId="0" applyNumberFormat="1" applyFont="1" applyFill="1" applyBorder="1" applyAlignment="1">
      <alignment vertical="center" wrapText="1"/>
    </xf>
    <xf numFmtId="0" fontId="21" fillId="0" borderId="2" xfId="0" applyNumberFormat="1" applyFont="1" applyFill="1" applyBorder="1" applyAlignment="1">
      <alignment vertical="center" wrapText="1"/>
    </xf>
    <xf numFmtId="0" fontId="21" fillId="0" borderId="0" xfId="0" applyNumberFormat="1" applyFont="1" applyFill="1" applyBorder="1" applyAlignment="1">
      <alignment vertical="center" wrapText="1"/>
    </xf>
    <xf numFmtId="0" fontId="2" fillId="17" borderId="0" xfId="0" applyNumberFormat="1" applyFont="1" applyFill="1" applyBorder="1" applyAlignment="1" applyProtection="1">
      <alignment vertical="center" wrapText="1"/>
    </xf>
    <xf numFmtId="164" fontId="18" fillId="10" borderId="4" xfId="0" applyNumberFormat="1" applyFont="1" applyFill="1" applyBorder="1" applyAlignment="1" applyProtection="1">
      <alignment horizontal="left" vertical="center" wrapText="1"/>
    </xf>
    <xf numFmtId="0" fontId="14" fillId="4" borderId="0" xfId="0" applyNumberFormat="1" applyFont="1" applyFill="1" applyBorder="1" applyAlignment="1" applyProtection="1">
      <alignment vertical="center" wrapText="1"/>
    </xf>
    <xf numFmtId="0" fontId="19" fillId="3" borderId="3" xfId="0" applyNumberFormat="1" applyFont="1" applyFill="1" applyBorder="1" applyAlignment="1" applyProtection="1">
      <alignment horizontal="center" vertical="center" wrapText="1"/>
    </xf>
    <xf numFmtId="0" fontId="21" fillId="0" borderId="3" xfId="0" applyNumberFormat="1" applyFont="1" applyFill="1" applyBorder="1" applyAlignment="1">
      <alignment vertical="center" wrapText="1"/>
    </xf>
    <xf numFmtId="0" fontId="19" fillId="3" borderId="24" xfId="0" applyNumberFormat="1" applyFont="1" applyFill="1" applyBorder="1" applyAlignment="1">
      <alignment horizontal="center" vertical="center" wrapText="1"/>
    </xf>
    <xf numFmtId="0" fontId="31" fillId="0" borderId="4" xfId="0" applyFont="1" applyBorder="1" applyAlignment="1">
      <alignment horizontal="left" vertical="center"/>
    </xf>
    <xf numFmtId="0" fontId="20" fillId="3" borderId="5" xfId="0" applyNumberFormat="1" applyFont="1" applyFill="1" applyBorder="1" applyAlignment="1">
      <alignment horizontal="left" vertical="center"/>
    </xf>
    <xf numFmtId="0" fontId="55" fillId="0" borderId="3" xfId="0" applyFont="1" applyBorder="1" applyAlignment="1">
      <alignment horizontal="left" vertical="center" wrapText="1"/>
    </xf>
    <xf numFmtId="0" fontId="56" fillId="3" borderId="5" xfId="0" applyNumberFormat="1" applyFont="1" applyFill="1" applyBorder="1" applyAlignment="1">
      <alignment horizontal="left" vertical="center"/>
    </xf>
    <xf numFmtId="0" fontId="55" fillId="0" borderId="2" xfId="0" applyFont="1" applyBorder="1" applyAlignment="1">
      <alignment horizontal="left" vertical="center" wrapText="1"/>
    </xf>
    <xf numFmtId="0" fontId="55" fillId="0" borderId="1" xfId="0" applyFont="1" applyBorder="1" applyAlignment="1">
      <alignment horizontal="left" vertical="center" wrapText="1"/>
    </xf>
    <xf numFmtId="0" fontId="57" fillId="3" borderId="5" xfId="2" applyNumberFormat="1" applyFont="1" applyFill="1" applyBorder="1" applyAlignment="1">
      <alignment horizontal="left" vertical="center"/>
    </xf>
    <xf numFmtId="0" fontId="45" fillId="3" borderId="5" xfId="0" applyNumberFormat="1" applyFont="1" applyFill="1" applyBorder="1" applyAlignment="1">
      <alignment horizontal="center" vertical="center"/>
    </xf>
    <xf numFmtId="164" fontId="18" fillId="10" borderId="53" xfId="0" applyNumberFormat="1" applyFont="1" applyFill="1" applyBorder="1" applyAlignment="1">
      <alignment horizontal="left" vertical="center"/>
    </xf>
    <xf numFmtId="164" fontId="18" fillId="10" borderId="1" xfId="0" applyNumberFormat="1" applyFont="1" applyFill="1" applyBorder="1" applyAlignment="1" applyProtection="1">
      <alignment horizontal="left" vertical="center"/>
    </xf>
    <xf numFmtId="0" fontId="49" fillId="10" borderId="3" xfId="1" applyFont="1" applyFill="1" applyBorder="1" applyAlignment="1">
      <alignment vertical="top" shrinkToFit="1"/>
    </xf>
    <xf numFmtId="0" fontId="8" fillId="0" borderId="3" xfId="1" applyBorder="1" applyAlignment="1">
      <alignment vertical="top" wrapText="1"/>
    </xf>
    <xf numFmtId="0" fontId="9" fillId="0" borderId="3" xfId="1" applyFont="1" applyBorder="1" applyAlignment="1">
      <alignment vertical="top" wrapText="1"/>
    </xf>
    <xf numFmtId="0" fontId="9" fillId="5" borderId="3" xfId="1" applyFont="1" applyFill="1" applyBorder="1" applyAlignment="1">
      <alignment vertical="top" wrapText="1"/>
    </xf>
    <xf numFmtId="0" fontId="9" fillId="6" borderId="3" xfId="1" applyFont="1" applyFill="1" applyBorder="1" applyAlignment="1">
      <alignment vertical="top" wrapText="1"/>
    </xf>
    <xf numFmtId="0" fontId="9" fillId="7" borderId="3" xfId="1" applyFont="1" applyFill="1" applyBorder="1" applyAlignment="1">
      <alignment vertical="top" wrapText="1"/>
    </xf>
    <xf numFmtId="0" fontId="9" fillId="8" borderId="3" xfId="1" applyFont="1" applyFill="1" applyBorder="1" applyAlignment="1">
      <alignment vertical="top" wrapText="1"/>
    </xf>
    <xf numFmtId="0" fontId="9" fillId="9" borderId="3" xfId="1" applyFont="1" applyFill="1" applyBorder="1" applyAlignment="1">
      <alignment vertical="top" wrapText="1"/>
    </xf>
    <xf numFmtId="0" fontId="10" fillId="0" borderId="3" xfId="1" applyFont="1" applyBorder="1" applyAlignment="1">
      <alignment vertical="top" wrapText="1"/>
    </xf>
    <xf numFmtId="0" fontId="35" fillId="0" borderId="3" xfId="0" applyFont="1" applyBorder="1">
      <alignment vertical="top" wrapText="1"/>
    </xf>
    <xf numFmtId="0" fontId="35" fillId="0" borderId="3" xfId="0" applyFont="1" applyBorder="1" applyAlignment="1">
      <alignment horizontal="right" vertical="top" wrapText="1"/>
    </xf>
    <xf numFmtId="0" fontId="58" fillId="0" borderId="3" xfId="0" applyFont="1" applyBorder="1">
      <alignment vertical="top" wrapText="1"/>
    </xf>
    <xf numFmtId="0" fontId="35" fillId="0" borderId="3" xfId="0" applyFont="1" applyBorder="1" applyAlignment="1">
      <alignment vertical="center"/>
    </xf>
    <xf numFmtId="0" fontId="35" fillId="0" borderId="3" xfId="0" applyFont="1" applyBorder="1" applyAlignment="1">
      <alignment wrapText="1"/>
    </xf>
    <xf numFmtId="0" fontId="58" fillId="0" borderId="3" xfId="0" applyFont="1" applyBorder="1" applyAlignment="1">
      <alignment wrapText="1"/>
    </xf>
    <xf numFmtId="0" fontId="59" fillId="0" borderId="3" xfId="0" applyFont="1" applyBorder="1" applyAlignment="1">
      <alignment wrapText="1"/>
    </xf>
    <xf numFmtId="0" fontId="10" fillId="0" borderId="0" xfId="0" applyFont="1">
      <alignment vertical="top" wrapText="1"/>
    </xf>
    <xf numFmtId="0" fontId="1" fillId="0" borderId="0" xfId="3" applyFont="1" applyAlignment="1">
      <alignment vertical="center" wrapText="1"/>
    </xf>
    <xf numFmtId="0" fontId="7" fillId="0" borderId="23" xfId="3" applyFont="1" applyBorder="1" applyAlignment="1">
      <alignment vertical="center"/>
    </xf>
    <xf numFmtId="0" fontId="60" fillId="25" borderId="0" xfId="1" applyFont="1" applyFill="1"/>
    <xf numFmtId="0" fontId="10" fillId="26" borderId="3" xfId="1" applyFont="1" applyFill="1" applyBorder="1" applyAlignment="1">
      <alignment vertical="top" wrapText="1"/>
    </xf>
    <xf numFmtId="0" fontId="11" fillId="26" borderId="3" xfId="1" applyFont="1" applyFill="1" applyBorder="1" applyAlignment="1">
      <alignment vertical="top" wrapText="1"/>
    </xf>
    <xf numFmtId="0" fontId="35" fillId="26" borderId="3" xfId="0" applyFont="1" applyFill="1" applyBorder="1">
      <alignment vertical="top" wrapText="1"/>
    </xf>
    <xf numFmtId="0" fontId="25" fillId="0" borderId="1" xfId="2" applyNumberFormat="1" applyFill="1" applyBorder="1" applyAlignment="1">
      <alignment horizontal="left" vertical="center"/>
    </xf>
    <xf numFmtId="0" fontId="9" fillId="15" borderId="0" xfId="1" applyFont="1" applyFill="1" applyAlignment="1">
      <alignment horizontal="center" vertical="center" wrapText="1"/>
    </xf>
    <xf numFmtId="0" fontId="16" fillId="27" borderId="3" xfId="0" applyNumberFormat="1" applyFont="1" applyFill="1" applyBorder="1" applyAlignment="1">
      <alignment horizontal="center" vertical="center" wrapText="1"/>
    </xf>
    <xf numFmtId="0" fontId="27" fillId="27" borderId="2" xfId="0" applyNumberFormat="1" applyFont="1" applyFill="1" applyBorder="1" applyAlignment="1">
      <alignment vertical="center" wrapText="1"/>
    </xf>
    <xf numFmtId="0" fontId="4" fillId="27" borderId="0" xfId="0" applyNumberFormat="1" applyFont="1" applyFill="1" applyAlignment="1">
      <alignment vertical="center"/>
    </xf>
    <xf numFmtId="0" fontId="27" fillId="0" borderId="3" xfId="0" applyFont="1" applyFill="1" applyBorder="1" applyAlignment="1">
      <alignment vertical="center" wrapText="1"/>
    </xf>
    <xf numFmtId="0" fontId="16" fillId="27" borderId="2" xfId="0" applyNumberFormat="1" applyFont="1" applyFill="1" applyBorder="1" applyAlignment="1">
      <alignment vertical="center" wrapText="1"/>
    </xf>
    <xf numFmtId="0" fontId="25" fillId="27" borderId="2" xfId="2" applyNumberFormat="1" applyFill="1" applyBorder="1" applyAlignment="1">
      <alignment vertical="center" wrapText="1"/>
    </xf>
    <xf numFmtId="0" fontId="25" fillId="0" borderId="2" xfId="2" applyNumberFormat="1" applyFill="1" applyBorder="1" applyAlignment="1">
      <alignment vertical="center" wrapText="1"/>
    </xf>
    <xf numFmtId="0" fontId="21" fillId="27" borderId="3" xfId="0" applyNumberFormat="1" applyFont="1" applyFill="1" applyBorder="1" applyAlignment="1">
      <alignment vertical="center" wrapText="1"/>
    </xf>
    <xf numFmtId="0" fontId="25" fillId="0" borderId="3" xfId="2" applyNumberFormat="1" applyFill="1" applyBorder="1" applyAlignment="1">
      <alignment vertical="center" wrapText="1"/>
    </xf>
    <xf numFmtId="0" fontId="16" fillId="27" borderId="3" xfId="0" applyNumberFormat="1" applyFont="1" applyFill="1" applyBorder="1" applyAlignment="1">
      <alignment vertical="center" wrapText="1"/>
    </xf>
    <xf numFmtId="0" fontId="21" fillId="0" borderId="1" xfId="0" applyNumberFormat="1" applyFont="1" applyFill="1" applyBorder="1" applyAlignment="1">
      <alignment vertical="center" wrapText="1"/>
    </xf>
    <xf numFmtId="0" fontId="27" fillId="0" borderId="1" xfId="0" applyNumberFormat="1"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61" fillId="17" borderId="0" xfId="0" applyNumberFormat="1" applyFont="1" applyFill="1" applyBorder="1" applyAlignment="1">
      <alignment vertical="center"/>
    </xf>
    <xf numFmtId="0" fontId="27" fillId="10" borderId="2" xfId="0" applyNumberFormat="1" applyFont="1" applyFill="1" applyBorder="1" applyAlignment="1">
      <alignment vertical="center" wrapText="1"/>
    </xf>
    <xf numFmtId="0" fontId="27" fillId="10" borderId="1" xfId="0" applyNumberFormat="1" applyFont="1" applyFill="1" applyBorder="1" applyAlignment="1">
      <alignment horizontal="left" vertical="center" wrapText="1"/>
    </xf>
    <xf numFmtId="0" fontId="21" fillId="0" borderId="1" xfId="0" applyNumberFormat="1" applyFont="1" applyFill="1" applyBorder="1" applyAlignment="1">
      <alignment horizontal="left" vertical="center" wrapText="1"/>
    </xf>
    <xf numFmtId="0" fontId="21" fillId="0" borderId="4" xfId="0" applyNumberFormat="1" applyFont="1" applyFill="1" applyBorder="1" applyAlignment="1">
      <alignment horizontal="left" vertical="center" wrapText="1"/>
    </xf>
    <xf numFmtId="0" fontId="21" fillId="0" borderId="2" xfId="0" applyNumberFormat="1" applyFont="1" applyFill="1" applyBorder="1" applyAlignment="1">
      <alignment horizontal="left" vertical="center" wrapText="1"/>
    </xf>
    <xf numFmtId="0" fontId="31" fillId="0" borderId="0" xfId="3" applyFont="1" applyAlignment="1">
      <alignment horizontal="center" vertical="center" wrapText="1"/>
    </xf>
  </cellXfs>
  <cellStyles count="4">
    <cellStyle name="Hyperlink" xfId="2" builtinId="8"/>
    <cellStyle name="Normal" xfId="0" builtinId="0"/>
    <cellStyle name="Normal 2" xfId="1" xr:uid="{0977C3B5-2E08-4294-B0E1-AB58BF027327}"/>
    <cellStyle name="Normal 3" xfId="3" xr:uid="{EAF195EE-AFF6-40D1-AAFA-97A5153DA503}"/>
  </cellStyles>
  <dxfs count="1">
    <dxf>
      <font>
        <color rgb="FFFF0000"/>
      </font>
    </dxf>
  </dxfs>
  <tableStyles count="0" defaultTableStyle="TableStyleMedium2" defaultPivotStyle="PivotStyleLight16"/>
  <colors>
    <mruColors>
      <color rgb="FFBF0000"/>
      <color rgb="FF7ECCA0"/>
      <color rgb="FFD0DAF0"/>
      <color rgb="FF00636C"/>
      <color rgb="FFFDEEC5"/>
      <color rgb="FFE0B233"/>
      <color rgb="FF4C6BB3"/>
      <color rgb="FFB6F1D0"/>
      <color rgb="FFB651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ocumenttasks/documenttask1.xml><?xml version="1.0" encoding="utf-8"?>
<Tasks xmlns="http://schemas.microsoft.com/office/tasks/2019/documenttasks">
  <Task id="{58BD3804-A97F-4232-A004-01EE1D073D18}">
    <Anchor>
      <Comment id="{35485D27-C868-4C50-939A-3E504EDCC1D4}"/>
    </Anchor>
    <History>
      <Event time="2026-08-25T13:21:35.52" id="{EE604D9B-D57E-432A-A876-2B4A0F8C1D20}">
        <Attribution userId="S::helena.pilih@preservica.com::f8aae79c-509b-4b84-8c71-d3677f0335af" userName="Helena Pilih" userProvider="AD"/>
        <Anchor>
          <Comment id="{35485D27-C868-4C50-939A-3E504EDCC1D4}"/>
        </Anchor>
        <Create/>
      </Event>
      <Event time="2026-08-25T13:21:35.52" id="{E2A2E4A4-DAE0-430F-8B9B-8EEBFC1E0FC3}">
        <Attribution userId="S::helena.pilih@preservica.com::f8aae79c-509b-4b84-8c71-d3677f0335af" userName="Helena Pilih" userProvider="AD"/>
        <Anchor>
          <Comment id="{35485D27-C868-4C50-939A-3E504EDCC1D4}"/>
        </Anchor>
        <Assign userId="S::leon.williams@preservica.com::7d2efb29-58a1-4afc-b027-c04417eaa6f9" userName="Leon Williams" userProvider="AD"/>
      </Event>
      <Event time="2026-08-25T13:21:35.52" id="{75B471F4-344F-4771-8B0A-3A0CCA6A1D8C}">
        <Attribution userId="S::helena.pilih@preservica.com::f8aae79c-509b-4b84-8c71-d3677f0335af" userName="Helena Pilih" userProvider="AD"/>
        <Anchor>
          <Comment id="{35485D27-C868-4C50-939A-3E504EDCC1D4}"/>
        </Anchor>
        <SetTitle title="@Leon Williams Can you please review that this Authentication/authorization and account management section is correct, especially the rows that have been highlighted in yellow? Need to turn this around to Jason by end of the week ideally."/>
      </Event>
    </History>
  </Task>
  <Task id="{B664B190-3B87-44E0-B7C5-F4988690AE2C}">
    <Anchor>
      <Comment id="{09D983EE-DC8F-4D3D-AE55-134B236AD978}"/>
    </Anchor>
    <History>
      <Event time="2026-08-25T13:29:01.37" id="{0BF04F14-1F5F-4C72-8901-F9CC672FB16B}">
        <Attribution userId="S::helena.pilih@preservica.com::f8aae79c-509b-4b84-8c71-d3677f0335af" userName="Helena Pilih" userProvider="AD"/>
        <Anchor>
          <Comment id="{09D983EE-DC8F-4D3D-AE55-134B236AD978}"/>
        </Anchor>
        <Create/>
      </Event>
      <Event time="2026-08-25T13:29:01.37" id="{AAF617CC-8DAA-4A5D-87D3-55F162F61E05}">
        <Attribution userId="S::helena.pilih@preservica.com::f8aae79c-509b-4b84-8c71-d3677f0335af" userName="Helena Pilih" userProvider="AD"/>
        <Anchor>
          <Comment id="{09D983EE-DC8F-4D3D-AE55-134B236AD978}"/>
        </Anchor>
        <Assign userId="S::matthew.spindler@preservica.com::08419e8f-8089-4c00-aa42-d8d4aaabbc5e" userName="Matthew Spindler" userProvider="AD"/>
      </Event>
      <Event time="2026-08-25T13:29:01.37" id="{98911F13-DC1B-4863-A306-5FD63AA0F80D}">
        <Attribution userId="S::helena.pilih@preservica.com::f8aae79c-509b-4b84-8c71-d3677f0335af" userName="Helena Pilih" userProvider="AD"/>
        <Anchor>
          <Comment id="{09D983EE-DC8F-4D3D-AE55-134B236AD978}"/>
        </Anchor>
        <SetTitle title="@Matthew Spindler Can you please sense-check this data section of the Product sheet (except for the item in yellow which Simon is confirming). It looks alright to me but there are specifics of encryption algorithms and such that I’m not familiar with…"/>
      </Event>
    </History>
  </Task>
  <Task id="{113F51D7-217E-4E50-A228-4D0AD2E9CF0E}">
    <Anchor>
      <Comment id="{9A5773F7-6CD4-4DE0-82E6-428B972FC40F}"/>
    </Anchor>
    <History>
      <Event time="2026-08-25T13:25:37.10" id="{8E1A2DCA-F542-4669-9738-3D18D44517D1}">
        <Attribution userId="S::helena.pilih@preservica.com::f8aae79c-509b-4b84-8c71-d3677f0335af" userName="Helena Pilih" userProvider="AD"/>
        <Anchor>
          <Comment id="{9A5773F7-6CD4-4DE0-82E6-428B972FC40F}"/>
        </Anchor>
        <Create/>
      </Event>
      <Event time="2026-08-25T13:25:37.10" id="{A4CD40F4-86BE-4D18-B0C1-3AE2D3828DEB}">
        <Attribution userId="S::helena.pilih@preservica.com::f8aae79c-509b-4b84-8c71-d3677f0335af" userName="Helena Pilih" userProvider="AD"/>
        <Anchor>
          <Comment id="{9A5773F7-6CD4-4DE0-82E6-428B972FC40F}"/>
        </Anchor>
        <Assign userId="S::simon.olivari@preservica.com::c08d90ca-d659-46e8-b1be-b5d738125f5e" userName="Simon Olivari" userProvider="AD"/>
      </Event>
      <Event time="2026-08-25T13:25:37.10" id="{50166E99-9E52-4D21-AC80-0143FFBACAED}">
        <Attribution userId="S::helena.pilih@preservica.com::f8aae79c-509b-4b84-8c71-d3677f0335af" userName="Helena Pilih" userProvider="AD"/>
        <Anchor>
          <Comment id="{9A5773F7-6CD4-4DE0-82E6-428B972FC40F}"/>
        </Anchor>
        <SetTitle title="@Simon Olivari Can you please confirm if this is correct?"/>
      </Event>
    </History>
  </Task>
</Task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Leon Williams" id="{E6E54A33-9D9D-492B-9D8D-56BA0BF5FA25}" userId="leon.williams@preservica.com" providerId="PeoplePicker"/>
  <person displayName="Simon Olivari" id="{9367285C-8E80-42F3-928B-4F2C91FBDEF0}" userId="simon.olivari@preservica.com" providerId="PeoplePicker"/>
  <person displayName="Wendy Goodier" id="{1448C5F3-9458-465F-ABCA-FC651194338A}" userId="wendy.goodier@preservica.com" providerId="PeoplePicker"/>
  <person displayName="Martyn Simpson" id="{63B99401-4ADA-47F9-9772-4E3F4F118A59}" userId="martyn.simpson@preservica.com" providerId="PeoplePicker"/>
  <person displayName="Matthew Spindler" id="{517914FF-6030-40C3-AB81-CA081C72EB75}" userId="matthew.spindler@preservica.com" providerId="PeoplePicker"/>
  <person displayName="Nichole Arbino (she/her)" id="{5608B8F2-66AD-4513-93ED-510AE4C6D38F}" userId="S::narbino@educause.edu::97e22f53-5f65-4918-80b8-6daabf17ba67" providerId="AD"/>
  <person displayName="Helena Pilih" id="{D351811F-EDE7-4674-9413-88FA360086E2}" userId="S::helena.pilih@preservica.com::f8aae79c-509b-4b84-8c71-d3677f0335af" providerId="AD"/>
  <person displayName="Leon Williams" id="{E366B02A-75CB-41BA-AE22-089AF9BDDBB1}" userId="S::leon.williams@preservica.com::7d2efb29-58a1-4afc-b027-c04417eaa6f9" providerId="AD"/>
  <person displayName="Wendy Goodier" id="{EF64E6CC-3FAF-46CE-A5F3-A5485BF70614}" userId="S::wendy.goodier@preservica.com::f7dd0444-9c1d-401c-b7b6-2cc35bf55c7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19" dT="2026-08-25T13:21:35.53" personId="{D351811F-EDE7-4674-9413-88FA360086E2}" id="{35485D27-C868-4C50-939A-3E504EDCC1D4}">
    <text>@Leon Williams Can you please review that this Authentication/authorization and account management section is correct, especially the rows that have been highlighted in yellow? Need to turn this around to Jason by end of the week ideally.</text>
    <mentions>
      <mention mentionpersonId="{E6E54A33-9D9D-492B-9D8D-56BA0BF5FA25}" mentionId="{10521009-220A-4BD5-9D93-802E5E2C7F87}" startIndex="0" length="14"/>
    </mentions>
  </threadedComment>
  <threadedComment ref="B19" dT="2026-08-26T15:44:14.83" personId="{E366B02A-75CB-41BA-AE22-089AF9BDDBB1}" id="{7E7E3440-391D-4461-A0E8-2D9FC25201E1}" parentId="{35485D27-C868-4C50-939A-3E504EDCC1D4}">
    <text>Yellow are confirmed</text>
  </threadedComment>
  <threadedComment ref="D38" dT="2026-08-25T13:29:01.37" personId="{D351811F-EDE7-4674-9413-88FA360086E2}" id="{09D983EE-DC8F-4D3D-AE55-134B236AD978}">
    <text>@Matthew Spindler  Can you please sense-check this data section of the Product sheet (except for the item in yellow which Simon is confirming). It looks alright to me but there are specifics of encryption algorithms and such that I’m not familiar with. Need to turn this back around to Jason by end of the week</text>
    <mentions>
      <mention mentionpersonId="{517914FF-6030-40C3-AB81-CA081C72EB75}" mentionId="{F7267C8A-FD08-4A0E-B616-BB126703AEE8}" startIndex="0" length="17"/>
    </mentions>
  </threadedComment>
  <threadedComment ref="D50" dT="2026-08-25T13:25:37.11" personId="{D351811F-EDE7-4674-9413-88FA360086E2}" id="{9A5773F7-6CD4-4DE0-82E6-428B972FC40F}">
    <text>@Simon Olivari Can you please confirm if this is correct?</text>
    <mentions>
      <mention mentionpersonId="{9367285C-8E80-42F3-928B-4F2C91FBDEF0}" mentionId="{8C83434C-6CFB-4A2E-B993-435BACF5D30D}" startIndex="0" length="14"/>
    </mentions>
  </threadedComment>
  <threadedComment ref="D50" dT="2026-08-25T13:25:58.67" personId="{D351811F-EDE7-4674-9413-88FA360086E2}" id="{FE3FEBFC-2B38-47FE-9E96-18113531E87F}" parentId="{9A5773F7-6CD4-4DE0-82E6-428B972FC40F}">
    <text>Need to turn this back around to Jason by end of the week</text>
  </threadedComment>
</ThreadedComments>
</file>

<file path=xl/threadedComments/threadedComment2.xml><?xml version="1.0" encoding="utf-8"?>
<ThreadedComments xmlns="http://schemas.microsoft.com/office/spreadsheetml/2018/threadedcomments" xmlns:x="http://schemas.openxmlformats.org/spreadsheetml/2006/main">
  <threadedComment ref="D97" dT="2026-09-02T09:56:45.24" personId="{D351811F-EDE7-4674-9413-88FA360086E2}" id="{006D4F1A-7BB2-41D4-8048-4535DC4CDA21}">
    <text>@Wendy Goodier  @Martyn Simpson  Yes it’s opt-in by default but we also do give the ability to opt out - feel like we should say that?</text>
    <mentions>
      <mention mentionpersonId="{1448C5F3-9458-465F-ABCA-FC651194338A}" mentionId="{2EEAB546-5FAF-4414-8EA2-60421C176AAC}" startIndex="0" length="14"/>
      <mention mentionpersonId="{63B99401-4ADA-47F9-9772-4E3F4F118A59}" mentionId="{A0D8ADC7-DC6D-41C1-AC04-6F12DD8286E3}" startIndex="16" length="15"/>
    </mentions>
  </threadedComment>
  <threadedComment ref="D97" dT="2026-09-02T10:51:46.48" personId="{EF64E6CC-3FAF-46CE-A5F3-A5485BF70614}" id="{FEA91CA5-2648-4B6A-BE3B-821DE41E61C1}" parentId="{006D4F1A-7BB2-41D4-8048-4535DC4CDA21}">
    <text>Where do we give the option to opt-out?  Is that at tenancy level?  We should add whatever is factually correct.</text>
  </threadedComment>
</ThreadedComments>
</file>

<file path=xl/threadedComments/threadedComment3.xml><?xml version="1.0" encoding="utf-8"?>
<ThreadedComments xmlns="http://schemas.microsoft.com/office/spreadsheetml/2018/threadedcomments" xmlns:x="http://schemas.openxmlformats.org/spreadsheetml/2006/main">
  <threadedComment ref="C49" dT="2024-11-09T02:35:39.26" personId="{5608B8F2-66AD-4513-93ED-510AE4C6D38F}" id="{4A0CC0DA-6623-4115-B60A-38E5EC6CE394}">
    <text>This question will be reworded with a preferred answer of no. That is reflected in column T, but the new verbiage should come Monday.</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DDEB4F8-BDD4-4668-89BB-382FB72B2062}">
  <we:reference id="WA200009404" version="1.0.0.8" store="Omex" storeType="OMEX"/>
  <we:alternateReferences>
    <we:reference id="WA200009404" version="1.0.0.8" store="WA200009404" storeType="OMEX"/>
  </we:alternateReferences>
  <we:properties>
    <we:property name="claude.fileId" value="&quot;1d0f0550-7990-405d-a0c8-10a02578c5ae&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ales@preservica.com" TargetMode="External"/><Relationship Id="rId1" Type="http://schemas.openxmlformats.org/officeDocument/2006/relationships/hyperlink" Target="http://www.educause.edu/HECVAT"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preservica.com/privacy-notice" TargetMode="External"/><Relationship Id="rId1" Type="http://schemas.openxmlformats.org/officeDocument/2006/relationships/hyperlink" Target="http://www.educause.edu/HECVAT"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http://www.educause.edu/HECVAT" TargetMode="External"/><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educause.edu/HECVAT"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preservica.com/accessibility" TargetMode="External"/><Relationship Id="rId2" Type="http://schemas.openxmlformats.org/officeDocument/2006/relationships/hyperlink" Target="mailto:accessibility@preservica.com" TargetMode="External"/><Relationship Id="rId1" Type="http://schemas.openxmlformats.org/officeDocument/2006/relationships/hyperlink" Target="http://www.educause.edu/HECVAT" TargetMode="External"/><Relationship Id="rId6" Type="http://schemas.openxmlformats.org/officeDocument/2006/relationships/printerSettings" Target="../printerSettings/printerSettings5.bin"/><Relationship Id="rId5" Type="http://schemas.openxmlformats.org/officeDocument/2006/relationships/hyperlink" Target="https://preservica.com/accessibility" TargetMode="External"/><Relationship Id="rId4" Type="http://schemas.openxmlformats.org/officeDocument/2006/relationships/hyperlink" Target="https://vimeo.com/1047769206/99a064defa?share=copy&amp;fl=sv&amp;fe=ci"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educause.edu/HECVA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educause.edu/HECVAT"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Privacy@preservica.com" TargetMode="External"/><Relationship Id="rId7" Type="http://schemas.microsoft.com/office/2017/10/relationships/threadedComment" Target="../threadedComments/threadedComment2.xml"/><Relationship Id="rId2" Type="http://schemas.openxmlformats.org/officeDocument/2006/relationships/hyperlink" Target="https://preservica.com/privacy-notice" TargetMode="External"/><Relationship Id="rId1" Type="http://schemas.openxmlformats.org/officeDocument/2006/relationships/hyperlink" Target="http://www.educause.edu/HECVAT"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educause.edu/HECVAT" TargetMode="External"/><Relationship Id="rId1" Type="http://schemas.openxmlformats.org/officeDocument/2006/relationships/hyperlink" Target="http://www.educause.edu/HECVA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ducause.edu/higher-education-community-vendor-assessment-toolkit/how-to-use-the-higher-education-community-vendor-assessment-toolki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educause.edu/HECVA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educause.edu/HECVAT" TargetMode="External"/><Relationship Id="rId1" Type="http://schemas.openxmlformats.org/officeDocument/2006/relationships/hyperlink" Target="https://connect.educause.edu/community-home?CommunityKey=dd48df3c-8db8-4551-a9e5-a393b7a15e40"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51EAF-9FC8-4708-9241-728E3131A911}">
  <sheetPr>
    <tabColor rgb="FF00636C"/>
  </sheetPr>
  <dimension ref="A1:L75"/>
  <sheetViews>
    <sheetView showGridLines="0" showZeros="0" tabSelected="1" topLeftCell="A2" zoomScale="150" zoomScaleNormal="60" workbookViewId="0">
      <selection activeCell="A2" sqref="A2"/>
    </sheetView>
  </sheetViews>
  <sheetFormatPr defaultColWidth="0" defaultRowHeight="0" customHeight="1" zeroHeight="1" x14ac:dyDescent="0.25"/>
  <cols>
    <col min="1" max="1" width="8.265625" customWidth="1"/>
    <col min="2" max="2" width="55.1328125" style="1" customWidth="1"/>
    <col min="3" max="3" width="18.86328125" style="8" bestFit="1" customWidth="1"/>
    <col min="4" max="4" width="55.59765625" style="9" customWidth="1"/>
    <col min="5" max="5" width="32" style="10" customWidth="1"/>
    <col min="6" max="6" width="30.59765625" style="1" customWidth="1"/>
    <col min="7" max="7" width="18.1328125" style="1" customWidth="1"/>
    <col min="8" max="8" width="16.59765625" style="1" hidden="1" customWidth="1"/>
    <col min="9" max="9" width="18.1328125" style="35" hidden="1" customWidth="1"/>
    <col min="10" max="10" width="18.1328125" style="1" hidden="1" customWidth="1"/>
    <col min="11" max="11" width="4.46484375" style="1" hidden="1" customWidth="1"/>
    <col min="12" max="12" width="6.59765625" style="1" hidden="1" customWidth="1"/>
    <col min="13" max="16384" width="6.59765625" hidden="1"/>
  </cols>
  <sheetData>
    <row r="1" spans="1:9" ht="0" hidden="1" customHeight="1" x14ac:dyDescent="0.25">
      <c r="A1" t="s">
        <v>0</v>
      </c>
    </row>
    <row r="2" spans="1:9" ht="36" customHeight="1" x14ac:dyDescent="0.25">
      <c r="A2" s="269" t="s">
        <v>1</v>
      </c>
      <c r="B2" s="269"/>
      <c r="C2" s="270"/>
      <c r="D2" s="318"/>
      <c r="E2" s="271"/>
      <c r="F2" s="271" t="str">
        <f>'Auto Responses'!$A$36</f>
        <v>Version 4.1.5</v>
      </c>
    </row>
    <row r="3" spans="1:9" s="1" customFormat="1" ht="29.25" customHeight="1" x14ac:dyDescent="0.25">
      <c r="A3" s="272" t="s">
        <v>2</v>
      </c>
      <c r="B3" s="273"/>
      <c r="C3" s="333">
        <v>46255</v>
      </c>
      <c r="D3" s="319"/>
      <c r="E3" s="274"/>
      <c r="F3" s="275"/>
      <c r="I3" s="35"/>
    </row>
    <row r="4" spans="1:9" s="1" customFormat="1" ht="36" customHeight="1" x14ac:dyDescent="0.25">
      <c r="A4" s="276" t="s">
        <v>3</v>
      </c>
      <c r="B4" s="277"/>
      <c r="C4" s="278"/>
      <c r="D4" s="279"/>
      <c r="E4" s="280"/>
      <c r="F4" s="280"/>
      <c r="I4" s="35"/>
    </row>
    <row r="5" spans="1:9" s="1" customFormat="1" ht="19.5" customHeight="1" x14ac:dyDescent="0.25">
      <c r="A5" s="281" t="str">
        <f>HLOOKUP($A$4,'Auto Responses'!$D$2:$D$8,2,0)&amp;""</f>
        <v>1. Complete the "Start Here" tab and review the "Required Questions" guidance to find the other sections are required for your product or service.</v>
      </c>
      <c r="B5" s="282"/>
      <c r="C5" s="283"/>
      <c r="D5" s="320"/>
      <c r="E5" s="282"/>
      <c r="F5" s="284"/>
      <c r="I5" s="35"/>
    </row>
    <row r="6" spans="1:9" s="1" customFormat="1" ht="19.5" customHeight="1" x14ac:dyDescent="0.25">
      <c r="A6" s="281" t="str">
        <f>HLOOKUP($A$4,'Auto Responses'!$D$2:$D$8,3,0)&amp;""</f>
        <v>2. Complete the "Organization" tab and the applicable questions in each of the next 5 tabs (Product through Privacy) that apply, based on your answers to the "Required Questions."</v>
      </c>
      <c r="B6" s="282"/>
      <c r="C6" s="283"/>
      <c r="D6" s="320"/>
      <c r="E6" s="282"/>
      <c r="F6" s="285"/>
      <c r="I6" s="35"/>
    </row>
    <row r="7" spans="1:9" s="1" customFormat="1" ht="19.5" customHeight="1" x14ac:dyDescent="0.25">
      <c r="A7" s="281" t="str">
        <f>HLOOKUP($A$4,'Auto Responses'!$D$2:$D$8,4,0)&amp;""</f>
        <v xml:space="preserve">3. Guidance in column E may change based on your answers to prompt details in "Additional Information." If leaving an answer blank, you must also state why in "Additional Information". </v>
      </c>
      <c r="B7" s="282"/>
      <c r="C7" s="283"/>
      <c r="D7" s="320"/>
      <c r="E7" s="282"/>
      <c r="F7" s="285"/>
      <c r="I7" s="35"/>
    </row>
    <row r="8" spans="1:9" s="1" customFormat="1" ht="19.5" customHeight="1" x14ac:dyDescent="0.25">
      <c r="A8" s="281" t="str">
        <f>HLOOKUP($A$4,'Auto Responses'!$D$2:$D$8,5,0)&amp;""</f>
        <v>4. DO NOT complete any fields in the "Evaluation" sheets or the "Analyst Notes" column.</v>
      </c>
      <c r="B8" s="282"/>
      <c r="C8" s="283"/>
      <c r="D8" s="320"/>
      <c r="E8" s="282"/>
      <c r="F8" s="285"/>
      <c r="I8" s="35"/>
    </row>
    <row r="9" spans="1:9" s="1" customFormat="1" ht="19.5" customHeight="1" x14ac:dyDescent="0.25">
      <c r="A9" s="281" t="str">
        <f>HLOOKUP($A$4,'Auto Responses'!$D$2:$D$8,6,0)&amp;""</f>
        <v>5. Return the completed file to institutions.</v>
      </c>
      <c r="B9" s="282"/>
      <c r="C9" s="283"/>
      <c r="D9" s="320"/>
      <c r="E9" s="282"/>
      <c r="F9" s="285"/>
      <c r="I9" s="35"/>
    </row>
    <row r="10" spans="1:9" s="1" customFormat="1" ht="19.5" customHeight="1" x14ac:dyDescent="0.25">
      <c r="A10" s="286" t="str">
        <f>HLOOKUP($A$4,'Auto Responses'!$D$2:$D$8,7,0)&amp;""</f>
        <v>* Denotes critical questions. Critical questions are those deemed most important to institutions by higher education volunteers.</v>
      </c>
      <c r="B10" s="282"/>
      <c r="C10" s="283"/>
      <c r="D10" s="320"/>
      <c r="E10" s="282"/>
      <c r="F10" s="285"/>
      <c r="I10" s="35"/>
    </row>
    <row r="11" spans="1:9" s="1" customFormat="1" ht="19.5" customHeight="1" x14ac:dyDescent="0.25">
      <c r="A11" s="287" t="str">
        <f>HLOOKUP($A$4,'Auto Responses'!$D$2:$D$9,8,0)&amp;""</f>
        <v>For full instructions, please visit educause.edu/HECVAT</v>
      </c>
      <c r="B11" s="282"/>
      <c r="C11" s="283"/>
      <c r="D11" s="320"/>
      <c r="E11" s="282"/>
      <c r="F11" s="288"/>
      <c r="I11" s="35"/>
    </row>
    <row r="12" spans="1:9" s="1" customFormat="1" ht="36" customHeight="1" x14ac:dyDescent="0.25">
      <c r="A12" s="289" t="str">
        <f>VLOOKUP(LEFT($A13,4),'Auto Responses'!$N$4:$O$38,2,0)&amp;""</f>
        <v xml:space="preserve"> General Information</v>
      </c>
      <c r="B12" s="277"/>
      <c r="C12" s="290"/>
      <c r="D12" s="321"/>
      <c r="E12" s="291"/>
      <c r="F12" s="291"/>
      <c r="I12" s="35"/>
    </row>
    <row r="13" spans="1:9" s="1" customFormat="1" ht="22.5" customHeight="1" x14ac:dyDescent="0.25">
      <c r="A13" s="19" t="s">
        <v>4</v>
      </c>
      <c r="B13" s="20" t="str">
        <f>VLOOKUP($A13,Questions!$A$2:$X$333,2,0)&amp;""</f>
        <v>Solution Provider Name</v>
      </c>
      <c r="C13" s="76" t="s">
        <v>5</v>
      </c>
      <c r="D13" s="32"/>
      <c r="E13" s="32"/>
      <c r="F13" s="50"/>
      <c r="I13" s="35"/>
    </row>
    <row r="14" spans="1:9" s="1" customFormat="1" ht="22.5" customHeight="1" x14ac:dyDescent="0.25">
      <c r="A14" s="19" t="s">
        <v>6</v>
      </c>
      <c r="B14" s="20" t="str">
        <f>VLOOKUP($A14,Questions!$A$2:$X$333,2,0)&amp;""</f>
        <v>Solution Name</v>
      </c>
      <c r="C14" s="76" t="s">
        <v>7</v>
      </c>
      <c r="D14" s="32"/>
      <c r="E14" s="33"/>
      <c r="F14" s="50"/>
      <c r="I14" s="35"/>
    </row>
    <row r="15" spans="1:9" s="1" customFormat="1" ht="22.5" customHeight="1" x14ac:dyDescent="0.25">
      <c r="A15" s="19" t="s">
        <v>8</v>
      </c>
      <c r="B15" s="20" t="str">
        <f>VLOOKUP($A15,Questions!$A$2:$X$333,2,0)&amp;""</f>
        <v>Solution Description</v>
      </c>
      <c r="C15" s="375" t="s">
        <v>9</v>
      </c>
      <c r="D15" s="376"/>
      <c r="E15" s="376"/>
      <c r="F15" s="377"/>
      <c r="I15" s="35"/>
    </row>
    <row r="16" spans="1:9" s="1" customFormat="1" ht="22.5" customHeight="1" x14ac:dyDescent="0.25">
      <c r="A16" s="19" t="s">
        <v>10</v>
      </c>
      <c r="B16" s="20" t="str">
        <f>VLOOKUP($A16,Questions!$A$2:$X$333,2,0)&amp;""</f>
        <v>Solution Provider Contact Name</v>
      </c>
      <c r="C16" s="76" t="s">
        <v>11</v>
      </c>
      <c r="D16" s="32"/>
      <c r="E16" s="33"/>
      <c r="F16" s="50"/>
      <c r="I16" s="35"/>
    </row>
    <row r="17" spans="1:9" s="1" customFormat="1" ht="22.5" customHeight="1" x14ac:dyDescent="0.25">
      <c r="A17" s="19" t="s">
        <v>12</v>
      </c>
      <c r="B17" s="20" t="str">
        <f>VLOOKUP($A17,Questions!$A$2:$X$333,2,0)&amp;""</f>
        <v>Solution Provider Contact Title</v>
      </c>
      <c r="C17" s="76" t="s">
        <v>11</v>
      </c>
      <c r="D17" s="9"/>
      <c r="E17" s="33"/>
      <c r="F17" s="50"/>
      <c r="I17" s="35"/>
    </row>
    <row r="18" spans="1:9" s="1" customFormat="1" ht="22.5" customHeight="1" x14ac:dyDescent="0.25">
      <c r="A18" s="19" t="s">
        <v>13</v>
      </c>
      <c r="B18" s="20" t="str">
        <f>VLOOKUP($A18,Questions!$A$2:$X$333,2,0)&amp;""</f>
        <v>Solution Provider Contact Email</v>
      </c>
      <c r="C18" s="357" t="s">
        <v>14</v>
      </c>
      <c r="D18" s="32"/>
      <c r="E18" s="33"/>
      <c r="F18" s="50"/>
      <c r="I18" s="35"/>
    </row>
    <row r="19" spans="1:9" s="1" customFormat="1" ht="22.5" customHeight="1" x14ac:dyDescent="0.25">
      <c r="A19" s="19" t="s">
        <v>15</v>
      </c>
      <c r="B19" s="20" t="str">
        <f>VLOOKUP($A19,Questions!$A$2:$X$333,2,0)&amp;""</f>
        <v>Solution Provider Contact Phone Number</v>
      </c>
      <c r="C19" s="76" t="s">
        <v>16</v>
      </c>
      <c r="D19" s="32"/>
      <c r="E19" s="33"/>
      <c r="F19" s="50"/>
      <c r="I19" s="35"/>
    </row>
    <row r="20" spans="1:9" s="1" customFormat="1" ht="22.5" customHeight="1" x14ac:dyDescent="0.25">
      <c r="A20" s="19" t="s">
        <v>17</v>
      </c>
      <c r="B20" s="20" t="str">
        <f>VLOOKUP($A20,Questions!$A$2:$X$333,2,0)&amp;""</f>
        <v>Country of Company Headquarters</v>
      </c>
      <c r="C20" s="76" t="s">
        <v>18</v>
      </c>
      <c r="D20" s="32"/>
      <c r="E20" s="33"/>
      <c r="F20" s="50"/>
      <c r="I20" s="35"/>
    </row>
    <row r="21" spans="1:9" s="1" customFormat="1" ht="22.5" customHeight="1" x14ac:dyDescent="0.25">
      <c r="A21" s="19" t="s">
        <v>19</v>
      </c>
      <c r="B21" s="20" t="str">
        <f>VLOOKUP($A21,Questions!$A$2:$X$333,2,0)&amp;""</f>
        <v>Employee Work Locations (all)</v>
      </c>
      <c r="C21" s="76" t="s">
        <v>20</v>
      </c>
      <c r="D21" s="32"/>
      <c r="E21" s="33"/>
      <c r="F21" s="50"/>
      <c r="I21" s="35"/>
    </row>
    <row r="22" spans="1:9" s="1" customFormat="1" ht="37.5" customHeight="1" thickBot="1" x14ac:dyDescent="0.3">
      <c r="A22" s="63" t="str">
        <f>VLOOKUP(LEFT($A23,4),'Auto Responses'!$N$4:$O$38,2,0)&amp;""</f>
        <v xml:space="preserve"> Company Information</v>
      </c>
      <c r="B22" s="22"/>
      <c r="C22" s="13" t="s">
        <v>21</v>
      </c>
      <c r="D22" s="13" t="s">
        <v>22</v>
      </c>
      <c r="E22" s="31" t="s">
        <v>23</v>
      </c>
      <c r="F22" s="196" t="s">
        <v>24</v>
      </c>
      <c r="I22" s="35"/>
    </row>
    <row r="23" spans="1:9" s="1" customFormat="1" ht="121.5" x14ac:dyDescent="0.25">
      <c r="A23" s="19" t="s">
        <v>25</v>
      </c>
      <c r="B23" s="18" t="str">
        <f>VLOOKUP($A23,Questions!$A$2:$X$333,2,0)&amp;""</f>
        <v>Do you have a dedicated software and system development team(s) (e.g., customer support, implementation, product management, etc.)?*</v>
      </c>
      <c r="C23" s="21" t="s">
        <v>26</v>
      </c>
      <c r="D23" s="309" t="s">
        <v>27</v>
      </c>
      <c r="E23" s="163" t="str">
        <f>IF($C23='Auto Responses'!$J$3,VLOOKUP($A23,Questions!$A$2:$X$333,17,0)&amp;"",IF($C23='Auto Responses'!$J$4,VLOOKUP($A23,Questions!$A$2:$X$333,16,0)&amp;"",VLOOKUP($A23,Questions!$A$2:$X$333,15,0)&amp;""))</f>
        <v>Describe the structure and size of your software and system development teams. (e.g., customer support, implementation, product management, etc.).</v>
      </c>
      <c r="F23" s="197" t="str">
        <f>VLOOKUP($A23,'Institution Evaluation'!$A$56:$F$345,6,0)&amp;""</f>
        <v/>
      </c>
      <c r="I23" s="35"/>
    </row>
    <row r="24" spans="1:9" s="1" customFormat="1" ht="256.5" x14ac:dyDescent="0.25">
      <c r="A24" s="19" t="s">
        <v>28</v>
      </c>
      <c r="B24" s="18" t="str">
        <f>VLOOKUP($A24,Questions!$A$2:$X$333,2,0)&amp;""</f>
        <v>Describe your organization’s business background and ownership structure, including all parent and subsidiary relationships.</v>
      </c>
      <c r="C24" s="369"/>
      <c r="D24" s="369" t="s">
        <v>29</v>
      </c>
      <c r="E24" s="163" t="str">
        <f>IF($C24='Auto Responses'!$J$3,VLOOKUP($A24,Questions!$A$2:$X$333,17,0)&amp;"",IF($C24='Auto Responses'!$J$4,VLOOKUP($A24,Questions!$A$2:$X$333,16,0)&amp;"",VLOOKUP($A24,Questions!$A$2:$X$333,15,0)&amp;""))</f>
        <v>Include circumstances that may involve offshoring or multinational agreements.</v>
      </c>
      <c r="F24" s="197" t="str">
        <f>VLOOKUP($A24,'Institution Evaluation'!$A$56:$F$345,6,0)&amp;""</f>
        <v/>
      </c>
      <c r="I24" s="35"/>
    </row>
    <row r="25" spans="1:9" s="1" customFormat="1" ht="54" x14ac:dyDescent="0.25">
      <c r="A25" s="19" t="s">
        <v>30</v>
      </c>
      <c r="B25" s="18" t="str">
        <f>VLOOKUP($A25,Questions!$A$2:$X$333,2,0)&amp;""</f>
        <v>Have you operated without unplanned disruptions to this solution in the past 12 months?</v>
      </c>
      <c r="C25" s="21" t="s">
        <v>26</v>
      </c>
      <c r="D25" s="309" t="s">
        <v>31</v>
      </c>
      <c r="E25" s="163" t="str">
        <f>IF($C25='Auto Responses'!$J$3,VLOOKUP($A25,Questions!$A$2:$X$333,17,0)&amp;"",IF($C25='Auto Responses'!$J$4,VLOOKUP($A25,Questions!$A$2:$X$333,16,0)&amp;"",VLOOKUP($A25,Questions!$A$2:$X$333,15,0)&amp;""))</f>
        <v/>
      </c>
      <c r="F25" s="197" t="str">
        <f>VLOOKUP($A25,'Institution Evaluation'!$A$56:$F$345,6,0)&amp;""</f>
        <v/>
      </c>
      <c r="I25" s="35"/>
    </row>
    <row r="26" spans="1:9" s="1" customFormat="1" ht="189" x14ac:dyDescent="0.25">
      <c r="A26" s="19" t="s">
        <v>32</v>
      </c>
      <c r="B26" s="18" t="str">
        <f>VLOOKUP($A26,Questions!$A$2:$X$333,2,0)&amp;""</f>
        <v>Do you have a dedicated information security staff or office?</v>
      </c>
      <c r="C26" s="21" t="s">
        <v>26</v>
      </c>
      <c r="D26" s="309" t="s">
        <v>33</v>
      </c>
      <c r="E26" s="163" t="str">
        <f>IF($C26='Auto Responses'!$J$3,VLOOKUP($A26,Questions!$A$2:$X$333,17,0)&amp;"",IF($C26='Auto Responses'!$J$4,VLOOKUP($A26,Questions!$A$2:$X$333,16,0)&amp;"",VLOOKUP($A26,Questions!$A$2:$X$333,15,0)&amp;""))</f>
        <v>Describe your information security office, including size, talents, resources, etc.</v>
      </c>
      <c r="F26" s="197" t="str">
        <f>VLOOKUP($A26,'Institution Evaluation'!$A$56:$F$345,6,0)&amp;""</f>
        <v/>
      </c>
      <c r="I26" s="35"/>
    </row>
    <row r="27" spans="1:9" s="1" customFormat="1" ht="270.5" thickBot="1" x14ac:dyDescent="0.3">
      <c r="A27" s="19" t="s">
        <v>34</v>
      </c>
      <c r="B27" s="18" t="str">
        <f>VLOOKUP($A27,Questions!$A$2:$X$333,2,0)&amp;""</f>
        <v>Use this area to share information about your environment that will assist those who are assessing your company's data security program.</v>
      </c>
      <c r="C27" s="21"/>
      <c r="D27" s="369" t="s">
        <v>35</v>
      </c>
      <c r="E27" s="163" t="str">
        <f>IF($D27='Auto Responses'!$J$3,VLOOKUP($A27,Questions!$A$2:$X$333,17,0)&amp;"",IF($D27='Auto Responses'!$J$4,VLOOKUP($A27,Questions!$A$2:$X$333,16,0)&amp;"",VLOOKUP($A27,Questions!$A$2:$X$333,15,0)&amp;""))</f>
        <v>Share any details that would help information security analysts assess your solution.</v>
      </c>
      <c r="F27" s="197" t="str">
        <f>VLOOKUP($A27,'Institution Evaluation'!$A$56:$F$345,6,0)&amp;""</f>
        <v/>
      </c>
      <c r="G27" s="234" t="s">
        <v>36</v>
      </c>
      <c r="I27" s="35"/>
    </row>
    <row r="28" spans="1:9" s="1" customFormat="1" ht="37.5" customHeight="1" thickBot="1" x14ac:dyDescent="0.3">
      <c r="A28" s="63" t="str">
        <f>VLOOKUP(LEFT($A29,4),'Auto Responses'!$N$4:$O$38,2,0)&amp;""</f>
        <v xml:space="preserve"> Required Questions</v>
      </c>
      <c r="B28" s="22"/>
      <c r="C28" s="13" t="s">
        <v>21</v>
      </c>
      <c r="D28" s="13" t="s">
        <v>22</v>
      </c>
      <c r="E28" s="31" t="s">
        <v>23</v>
      </c>
      <c r="F28" s="183" t="s">
        <v>24</v>
      </c>
      <c r="I28" s="35"/>
    </row>
    <row r="29" spans="1:9" s="1" customFormat="1" ht="135" x14ac:dyDescent="0.25">
      <c r="A29" s="19" t="s">
        <v>37</v>
      </c>
      <c r="B29" s="18" t="str">
        <f>VLOOKUP($A29,Questions!$A$2:$X$333,2,0)&amp;""</f>
        <v>Are you offering a cloud-based product?</v>
      </c>
      <c r="C29" s="21" t="s">
        <v>26</v>
      </c>
      <c r="D29" s="362" t="s">
        <v>38</v>
      </c>
      <c r="E29" s="163" t="str">
        <f>IF($C29='Auto Responses'!$J$3,VLOOKUP($A29,Questions!$A$2:$X$333,17,0)&amp;"",IF($C29='Auto Responses'!$J$4,VLOOKUP($A29,Questions!$A$2:$X$333,16,0)&amp;"",VLOOKUP($A29,Questions!$A$2:$X$333,15,0)&amp;""))</f>
        <v>DO complete the Product and Infrastructure worksheets</v>
      </c>
      <c r="F29" s="197" t="str">
        <f>VLOOKUP($A29,'Institution Evaluation'!$A$56:$F$345,6,0)&amp;""</f>
        <v/>
      </c>
      <c r="I29" s="35"/>
    </row>
    <row r="30" spans="1:9" s="1" customFormat="1" ht="108" x14ac:dyDescent="0.25">
      <c r="A30" s="19" t="s">
        <v>39</v>
      </c>
      <c r="B30" s="18" t="str">
        <f>VLOOKUP($A30,Questions!$A$2:$X$333,2,0)&amp;""</f>
        <v>Does your product or service have an interface?</v>
      </c>
      <c r="C30" s="21" t="s">
        <v>26</v>
      </c>
      <c r="D30" s="39" t="s">
        <v>40</v>
      </c>
      <c r="E30" s="163" t="str">
        <f>IF($C30='Auto Responses'!$J$3,VLOOKUP($A30,Questions!$A$2:$X$333,17,0)&amp;"",IF($C30='Auto Responses'!$J$4,VLOOKUP($A30,Questions!$A$2:$X$333,16,0)&amp;"",VLOOKUP($A30,Questions!$A$2:$X$333,15,0)&amp;""))</f>
        <v>DO complete the IT Accessibility worksheet.</v>
      </c>
      <c r="F30" s="197" t="str">
        <f>VLOOKUP($A30,'Institution Evaluation'!$A$56:$F$345,6,0)&amp;""</f>
        <v/>
      </c>
      <c r="I30" s="35"/>
    </row>
    <row r="31" spans="1:9" s="1" customFormat="1" ht="27" x14ac:dyDescent="0.25">
      <c r="A31" s="19" t="s">
        <v>41</v>
      </c>
      <c r="B31" s="18" t="str">
        <f>VLOOKUP($A31,Questions!$A$2:$X$333,2,0)&amp;""</f>
        <v>Are you providing consulting services?</v>
      </c>
      <c r="C31" s="21" t="s">
        <v>26</v>
      </c>
      <c r="D31" s="39" t="s">
        <v>42</v>
      </c>
      <c r="E31" s="163" t="str">
        <f>IF($C31='Auto Responses'!$J$3,VLOOKUP($A31,Questions!$A$2:$X$333,17,0)&amp;"",IF($C31='Auto Responses'!$J$4,VLOOKUP($A31,Questions!$A$2:$X$333,16,0)&amp;"",VLOOKUP($A31,Questions!$A$2:$X$333,15,0)&amp;""))</f>
        <v>DO complete the Consulting section in the Case-Specific worksheet</v>
      </c>
      <c r="F31" s="197" t="str">
        <f>VLOOKUP($A31,'Institution Evaluation'!$A$56:$F$345,6,0)&amp;""</f>
        <v/>
      </c>
      <c r="I31" s="35"/>
    </row>
    <row r="32" spans="1:9" s="1" customFormat="1" ht="81" x14ac:dyDescent="0.25">
      <c r="A32" s="19" t="s">
        <v>43</v>
      </c>
      <c r="B32" s="18" t="str">
        <f>VLOOKUP($A32,Questions!$A$2:$X$333,2,0)&amp;""</f>
        <v>Does your solution have AI features, or are there plans to implement AI features in the next 12 months?</v>
      </c>
      <c r="C32" s="21" t="s">
        <v>26</v>
      </c>
      <c r="D32" s="362" t="s">
        <v>44</v>
      </c>
      <c r="E32" s="163" t="str">
        <f>IF($C32='Auto Responses'!$J$3,VLOOKUP($A32,Questions!$A$2:$X$333,17,0)&amp;"",IF($C32='Auto Responses'!$J$4,VLOOKUP($A32,Questions!$A$2:$X$333,16,0)&amp;"",VLOOKUP($A32,Questions!$A$2:$X$333,15,0)&amp;""))</f>
        <v>DO complete the Artificial Intelligence (AI) worksheet</v>
      </c>
      <c r="F32" s="197" t="str">
        <f>VLOOKUP($A32,'Institution Evaluation'!$A$56:$F$345,6,0)&amp;""</f>
        <v/>
      </c>
      <c r="I32" s="35"/>
    </row>
    <row r="33" spans="1:10" s="1" customFormat="1" ht="67.5" x14ac:dyDescent="0.25">
      <c r="A33" s="19" t="s">
        <v>45</v>
      </c>
      <c r="B33" s="18" t="str">
        <f>VLOOKUP($A33,Questions!$A$2:$X$333,2,0)&amp;""</f>
        <v>Does your solution process protected health information (PHI) or any data covered by the Health Insurance Portability and Accountability Act (HIPAA)?</v>
      </c>
      <c r="C33" s="21" t="s">
        <v>46</v>
      </c>
      <c r="D33" s="39" t="s">
        <v>2157</v>
      </c>
      <c r="E33" s="163" t="str">
        <f>IF($C33='Auto Responses'!$J$3,VLOOKUP($A33,Questions!$A$2:$X$333,17,0)&amp;"",IF($C33='Auto Responses'!$J$4,VLOOKUP($A33,Questions!$A$2:$X$333,16,0)&amp;"",VLOOKUP($A33,Questions!$A$2:$X$333,15,0)&amp;""))</f>
        <v>DO NOT complete the HIPAA section in the Case-Specific worksheet</v>
      </c>
      <c r="F33" s="197" t="str">
        <f>VLOOKUP($A33,'Institution Evaluation'!$A$56:$F$345,6,0)&amp;""</f>
        <v/>
      </c>
      <c r="I33" s="35"/>
    </row>
    <row r="34" spans="1:10" s="1" customFormat="1" ht="67.5" x14ac:dyDescent="0.25">
      <c r="A34" s="19" t="s">
        <v>47</v>
      </c>
      <c r="B34" s="18" t="str">
        <f>VLOOKUP($A34,Questions!$A$2:$X$333,2,0)&amp;""</f>
        <v>Is the solution designed to process, store, or transmit credit card information?</v>
      </c>
      <c r="C34" s="21" t="s">
        <v>46</v>
      </c>
      <c r="D34" s="39" t="s">
        <v>48</v>
      </c>
      <c r="E34" s="163" t="str">
        <f>IF($C34='Auto Responses'!$J$3,VLOOKUP($A34,Questions!$A$2:$X$333,17,0)&amp;"",IF($C34='Auto Responses'!$J$4,VLOOKUP($A34,Questions!$A$2:$X$333,16,0)&amp;"",VLOOKUP($A34,Questions!$A$2:$X$333,15,0)&amp;""))</f>
        <v>DO NOT complete the PCI-DSS section in the Case-Specific worksheet</v>
      </c>
      <c r="F34" s="197" t="str">
        <f>VLOOKUP($A34,'Institution Evaluation'!$A$56:$F$345,6,0)&amp;""</f>
        <v/>
      </c>
      <c r="I34" s="35"/>
    </row>
    <row r="35" spans="1:10" s="1" customFormat="1" ht="148.5" x14ac:dyDescent="0.25">
      <c r="A35" s="19" t="s">
        <v>49</v>
      </c>
      <c r="B35" s="18" t="str">
        <f>VLOOKUP($A35,Questions!$A$2:$X$333,2,0)&amp;""</f>
        <v>Does operating your solution require the institution to operate a physical or virtual appliance in their own environment or to provide inbound firewall exceptions to allow your employees to remotely administer systems in the institution's environment?</v>
      </c>
      <c r="C35" s="21" t="s">
        <v>46</v>
      </c>
      <c r="D35" s="39" t="s">
        <v>50</v>
      </c>
      <c r="E35" s="163" t="str">
        <f>IF($C35='Auto Responses'!$J$3,VLOOKUP($A35,Questions!$A$2:$X$333,17,0)&amp;"",IF($C35='Auto Responses'!$J$4,VLOOKUP($A35,Questions!$A$2:$X$333,16,0)&amp;"",VLOOKUP($A35,Questions!$A$2:$X$333,15,0)&amp;""))</f>
        <v>DO NOT complete the On-Prem section in the Case-Specific worksheet</v>
      </c>
      <c r="F35" s="197" t="str">
        <f>VLOOKUP($A35,'Institution Evaluation'!$A$56:$F$345,6,0)&amp;""</f>
        <v/>
      </c>
      <c r="I35" s="35"/>
    </row>
    <row r="36" spans="1:10" s="1" customFormat="1" ht="108" x14ac:dyDescent="0.25">
      <c r="A36" s="152" t="s">
        <v>51</v>
      </c>
      <c r="B36" s="18" t="str">
        <f>VLOOKUP($A36,Questions!$A$2:$X$333,2,0)&amp;""</f>
        <v>Does your solution have access to personal or institutional data?</v>
      </c>
      <c r="C36" s="21" t="s">
        <v>26</v>
      </c>
      <c r="D36" s="39" t="s">
        <v>52</v>
      </c>
      <c r="E36" s="163" t="str">
        <f>IF($C36='Auto Responses'!$J$3,VLOOKUP($A36,Questions!$A$2:$X$333,17,0)&amp;"",IF($C36='Auto Responses'!$J$4,VLOOKUP($A36,Questions!$A$2:$X$333,16,0)&amp;"",VLOOKUP($A36,Questions!$A$2:$X$333,15,0)&amp;""))</f>
        <v>DO complete the Privacy tab</v>
      </c>
      <c r="F36" s="197" t="str">
        <f>VLOOKUP($A36,'Institution Evaluation'!$A$56:$F$345,6,0)&amp;""</f>
        <v/>
      </c>
      <c r="G36" s="234" t="s">
        <v>36</v>
      </c>
      <c r="H36" s="35"/>
      <c r="J36" s="35"/>
    </row>
    <row r="37" spans="1:10" s="167" customFormat="1" ht="63.75" customHeight="1" x14ac:dyDescent="0.25">
      <c r="A37" s="241" t="s">
        <v>53</v>
      </c>
      <c r="B37" s="249"/>
      <c r="C37" s="250"/>
      <c r="D37" s="251"/>
      <c r="E37" s="252"/>
      <c r="F37" s="253"/>
      <c r="G37" s="254"/>
      <c r="H37" s="168"/>
      <c r="J37" s="168"/>
    </row>
    <row r="38" spans="1:10" ht="24.75" customHeight="1" x14ac:dyDescent="0.25">
      <c r="A38" s="263" t="s">
        <v>54</v>
      </c>
    </row>
    <row r="39" spans="1:10" ht="15" hidden="1" customHeight="1" x14ac:dyDescent="0.25"/>
    <row r="74" ht="15" hidden="1" customHeight="1" x14ac:dyDescent="0.25"/>
    <row r="75" ht="15" hidden="1" customHeight="1" x14ac:dyDescent="0.25"/>
  </sheetData>
  <mergeCells count="1">
    <mergeCell ref="C15:F15"/>
  </mergeCells>
  <phoneticPr fontId="26" type="noConversion"/>
  <dataValidations count="2">
    <dataValidation allowBlank="1" showInputMessage="1" showErrorMessage="1" promptTitle="Warning!" prompt="The HECVAT is built using a number of complex formulas. Editing this cell can break the functionality of the tool. " sqref="C28:D28 C2:F2 C4:F12 C22:F22 A3:A38 B1:B38 A1 E23:F36" xr:uid="{A6718379-8163-48CF-875B-B0E3FCD41C9E}"/>
    <dataValidation allowBlank="1" showInputMessage="1" showErrorMessage="1" prompt="This cell should be left blank. Input your answer in column C." sqref="D13:F14 D18:F21 D3:F3 D16 E16:F17" xr:uid="{D49D790A-2236-4562-8A1A-C1D1B1C43217}"/>
  </dataValidations>
  <hyperlinks>
    <hyperlink ref="A11" r:id="rId1" display="http://www.educause.edu/HECVAT" xr:uid="{C8C809B9-E9A3-4614-BD81-E36A46E9EC44}"/>
    <hyperlink ref="C18" r:id="rId2" xr:uid="{CF3BB384-DADD-4043-9124-609CB4627E6D}"/>
  </hyperlinks>
  <pageMargins left="0.75" right="0.75" top="1" bottom="1" header="0.5" footer="0.5"/>
  <pageSetup orientation="landscape" r:id="rId3"/>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243AC80-4E0C-4331-B186-AF166D479850}">
          <x14:formula1>
            <xm:f>'Auto Responses'!$J$3:$J$4</xm:f>
          </x14:formula1>
          <xm:sqref>C29:C37 C25:C26</xm:sqref>
        </x14:dataValidation>
        <x14:dataValidation type="list" allowBlank="1" showInputMessage="1" showErrorMessage="1" xr:uid="{16A53367-ED0A-4B2E-B21D-CCE0E7E27FDD}">
          <x14:formula1>
            <xm:f>'Auto Responses'!$J$3:$J$5</xm:f>
          </x14:formula1>
          <xm:sqref>C23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92A95-A044-48B4-B148-275DEF58F358}">
  <sheetPr>
    <tabColor rgb="FF00636C"/>
  </sheetPr>
  <dimension ref="A1:L112"/>
  <sheetViews>
    <sheetView showGridLines="0" showZeros="0" topLeftCell="A3" zoomScale="150" zoomScaleNormal="150" workbookViewId="0">
      <selection activeCell="D27" sqref="D27"/>
    </sheetView>
  </sheetViews>
  <sheetFormatPr defaultColWidth="0" defaultRowHeight="0" customHeight="1" zeroHeight="1" x14ac:dyDescent="0.25"/>
  <cols>
    <col min="1" max="1" width="8.265625" customWidth="1"/>
    <col min="2" max="2" width="55.1328125" style="1" customWidth="1"/>
    <col min="3" max="3" width="18.86328125" style="8" customWidth="1"/>
    <col min="4" max="4" width="55.59765625" style="9" customWidth="1"/>
    <col min="5" max="5" width="32" style="10" customWidth="1"/>
    <col min="6" max="6" width="30.59765625" style="1" customWidth="1"/>
    <col min="7" max="7" width="18.1328125" style="1" customWidth="1"/>
    <col min="8" max="8" width="18.1328125" style="1" hidden="1" customWidth="1"/>
    <col min="9" max="10" width="18.1328125" style="35" hidden="1" customWidth="1"/>
    <col min="11" max="11" width="4.46484375" style="1" hidden="1" customWidth="1"/>
    <col min="12" max="12" width="6.59765625" style="1" hidden="1" customWidth="1"/>
    <col min="13" max="16384" width="6.59765625" hidden="1"/>
  </cols>
  <sheetData>
    <row r="1" spans="1:10" ht="0" hidden="1" customHeight="1" x14ac:dyDescent="0.25">
      <c r="A1" t="s">
        <v>0</v>
      </c>
    </row>
    <row r="2" spans="1:10" ht="36" customHeight="1" x14ac:dyDescent="0.25">
      <c r="A2" s="164" t="s">
        <v>55</v>
      </c>
      <c r="B2" s="164"/>
      <c r="C2" s="165"/>
      <c r="D2" s="304"/>
      <c r="E2" s="166"/>
      <c r="F2" s="166" t="str">
        <f>'Auto Responses'!$A$36</f>
        <v>Version 4.1.5</v>
      </c>
      <c r="J2" s="1"/>
    </row>
    <row r="3" spans="1:10" s="1" customFormat="1" ht="29.25" customHeight="1" x14ac:dyDescent="0.25">
      <c r="A3" s="37" t="s">
        <v>2</v>
      </c>
      <c r="B3" s="38"/>
      <c r="C3" s="66">
        <f>'START HERE'!$C$3</f>
        <v>46255</v>
      </c>
      <c r="D3" s="305"/>
      <c r="E3" s="36"/>
      <c r="F3" s="50"/>
      <c r="I3" s="35"/>
    </row>
    <row r="4" spans="1:10" s="1" customFormat="1" ht="36" customHeight="1" x14ac:dyDescent="0.25">
      <c r="A4" s="11" t="s">
        <v>3</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6"/>
      <c r="E5" s="16"/>
      <c r="F5" s="257"/>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6"/>
      <c r="E6" s="16"/>
      <c r="F6" s="258"/>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6"/>
      <c r="E7" s="16"/>
      <c r="F7" s="258"/>
      <c r="I7" s="35"/>
    </row>
    <row r="8" spans="1:10" s="1" customFormat="1" ht="19.5" customHeight="1" x14ac:dyDescent="0.25">
      <c r="A8" s="42" t="str">
        <f>HLOOKUP($A$4,'Auto Responses'!$D$2:$D$8,5,0)&amp;""</f>
        <v>4. DO NOT complete any fields in the "Evaluation" sheets or the "Analyst Notes" column.</v>
      </c>
      <c r="B8" s="16"/>
      <c r="C8" s="67"/>
      <c r="D8" s="306"/>
      <c r="E8" s="16"/>
      <c r="F8" s="258"/>
      <c r="I8" s="35"/>
    </row>
    <row r="9" spans="1:10" s="1" customFormat="1" ht="19.5" customHeight="1" x14ac:dyDescent="0.25">
      <c r="A9" s="42" t="str">
        <f>HLOOKUP($A$4,'Auto Responses'!$D$2:$D$8,6,0)&amp;""</f>
        <v>5. Return the completed file to institutions.</v>
      </c>
      <c r="B9" s="16"/>
      <c r="C9" s="67"/>
      <c r="D9" s="306"/>
      <c r="E9" s="16"/>
      <c r="F9" s="258"/>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6"/>
      <c r="E10" s="16"/>
      <c r="F10" s="258"/>
      <c r="I10" s="35"/>
    </row>
    <row r="11" spans="1:10" s="245" customFormat="1" ht="19.5" customHeight="1" x14ac:dyDescent="0.25">
      <c r="A11" s="242" t="str">
        <f>HLOOKUP($A$4,'Auto Responses'!$D$2:$D$9,8,0)&amp;""</f>
        <v>For full instructions, please visit educause.edu/HECVAT</v>
      </c>
      <c r="B11" s="243"/>
      <c r="C11" s="244"/>
      <c r="D11" s="315"/>
      <c r="E11" s="243"/>
      <c r="F11" s="260"/>
      <c r="I11" s="246"/>
    </row>
    <row r="12" spans="1:10" s="1" customFormat="1" ht="36" customHeight="1" x14ac:dyDescent="0.25">
      <c r="A12" s="63" t="str">
        <f>VLOOKUP(LEFT($A13,4),'Auto Responses'!$N$4:$O$38,2,0)&amp;""</f>
        <v xml:space="preserve"> General Information</v>
      </c>
      <c r="B12" s="12"/>
      <c r="C12" s="13" t="s">
        <v>21</v>
      </c>
      <c r="D12" s="307"/>
      <c r="E12" s="17"/>
      <c r="F12" s="17"/>
      <c r="I12" s="35"/>
      <c r="J12" s="35"/>
    </row>
    <row r="13" spans="1:10" s="1" customFormat="1" ht="22.5" customHeight="1" x14ac:dyDescent="0.25">
      <c r="A13" s="19" t="s">
        <v>4</v>
      </c>
      <c r="B13" s="20" t="str">
        <f>VLOOKUP($A13,Questions!$A$2:$X$333,2,0)&amp;""</f>
        <v>Solution Provider Name</v>
      </c>
      <c r="C13" s="76" t="str">
        <f>VLOOKUP($A13,'START HERE'!$A$13:$C$21,3,0)&amp;""</f>
        <v>Preservica Inc</v>
      </c>
      <c r="D13" s="32"/>
      <c r="E13" s="32"/>
      <c r="F13" s="50"/>
      <c r="I13" s="35"/>
      <c r="J13" s="35"/>
    </row>
    <row r="14" spans="1:10" s="1" customFormat="1" ht="22.5" customHeight="1" x14ac:dyDescent="0.25">
      <c r="A14" s="19" t="s">
        <v>6</v>
      </c>
      <c r="B14" s="20" t="str">
        <f>VLOOKUP($A14,Questions!$A$2:$X$333,2,0)&amp;""</f>
        <v>Solution Name</v>
      </c>
      <c r="C14" s="76" t="str">
        <f>VLOOKUP($A14,'START HERE'!$A$13:$C$21,3,0)&amp;""</f>
        <v>Preservica Pro, Preservica Pro Plus, Preservica Enterprise, Preservica Enterprise Plus - v9.x</v>
      </c>
      <c r="D14" s="32"/>
      <c r="E14" s="32"/>
      <c r="F14" s="50"/>
      <c r="I14" s="35"/>
      <c r="J14" s="35"/>
    </row>
    <row r="15" spans="1:10" s="1" customFormat="1" ht="22.5" customHeight="1" x14ac:dyDescent="0.25">
      <c r="A15" s="19" t="s">
        <v>8</v>
      </c>
      <c r="B15" s="20" t="str">
        <f>VLOOKUP($A15,Questions!$A$2:$X$333,2,0)&amp;""</f>
        <v>Solution Description</v>
      </c>
      <c r="C15" s="76" t="str">
        <f>VLOOKUP($A15,'START HERE'!$A$13:$C$21,3,0)&amp;""</f>
        <v>Preservica combines all the core requirements for successful long-term active digital preservation – including public and secure access - into a single integrated application that can be quickly deployed and hosted in the cloud.</v>
      </c>
      <c r="D15" s="32"/>
      <c r="E15" s="32"/>
      <c r="F15" s="50"/>
      <c r="I15" s="35"/>
      <c r="J15" s="35"/>
    </row>
    <row r="16" spans="1:10" s="1" customFormat="1" ht="22.5" customHeight="1" x14ac:dyDescent="0.25">
      <c r="A16" s="19" t="s">
        <v>10</v>
      </c>
      <c r="B16" s="20" t="str">
        <f>VLOOKUP($A16,Questions!$A$2:$X$333,2,0)&amp;""</f>
        <v>Solution Provider Contact Name</v>
      </c>
      <c r="C16" s="76" t="str">
        <f>VLOOKUP($A16,'START HERE'!$A$13:$C$21,3,0)&amp;""</f>
        <v>Sales</v>
      </c>
      <c r="D16" s="32"/>
      <c r="E16" s="32"/>
      <c r="F16" s="50"/>
      <c r="I16" s="35"/>
      <c r="J16" s="35"/>
    </row>
    <row r="17" spans="1:10" s="1" customFormat="1" ht="22.5" customHeight="1" x14ac:dyDescent="0.25">
      <c r="A17" s="19" t="s">
        <v>12</v>
      </c>
      <c r="B17" s="20" t="str">
        <f>VLOOKUP($A17,Questions!$A$2:$X$333,2,0)&amp;""</f>
        <v>Solution Provider Contact Title</v>
      </c>
      <c r="C17" s="76" t="str">
        <f>VLOOKUP($A17,'START HERE'!$A$13:$C$21,3,0)&amp;""</f>
        <v>Sales</v>
      </c>
      <c r="D17" s="32"/>
      <c r="E17" s="32"/>
      <c r="F17" s="50"/>
      <c r="I17" s="35"/>
      <c r="J17" s="35"/>
    </row>
    <row r="18" spans="1:10" s="1" customFormat="1" ht="22.5" customHeight="1" x14ac:dyDescent="0.25">
      <c r="A18" s="19" t="s">
        <v>13</v>
      </c>
      <c r="B18" s="20" t="str">
        <f>VLOOKUP($A18,Questions!$A$2:$X$333,2,0)&amp;""</f>
        <v>Solution Provider Contact Email</v>
      </c>
      <c r="C18" s="76" t="str">
        <f>VLOOKUP($A18,'START HERE'!$A$13:$C$21,3,0)&amp;""</f>
        <v>Sales@preservica.com</v>
      </c>
      <c r="D18" s="32"/>
      <c r="E18" s="32"/>
      <c r="F18" s="50"/>
      <c r="I18" s="35"/>
      <c r="J18" s="35"/>
    </row>
    <row r="19" spans="1:10" s="1" customFormat="1" ht="22.5" customHeight="1" x14ac:dyDescent="0.25">
      <c r="A19" s="19" t="s">
        <v>15</v>
      </c>
      <c r="B19" s="20" t="str">
        <f>VLOOKUP($A19,Questions!$A$2:$X$333,2,0)&amp;""</f>
        <v>Solution Provider Contact Phone Number</v>
      </c>
      <c r="C19" s="76" t="str">
        <f>VLOOKUP($A19,'START HERE'!$A$13:$C$21,3,0)&amp;""</f>
        <v>781-983-4229</v>
      </c>
      <c r="D19" s="32"/>
      <c r="E19" s="32"/>
      <c r="F19" s="50"/>
      <c r="I19" s="35"/>
      <c r="J19" s="35"/>
    </row>
    <row r="20" spans="1:10" s="1" customFormat="1" ht="22.5" customHeight="1" thickBot="1" x14ac:dyDescent="0.3">
      <c r="A20" s="19" t="s">
        <v>17</v>
      </c>
      <c r="B20" s="20" t="str">
        <f>VLOOKUP($A20,Questions!$A$2:$X$333,2,0)&amp;""</f>
        <v>Country of Company Headquarters</v>
      </c>
      <c r="C20" s="76" t="str">
        <f>VLOOKUP($A20,'START HERE'!$A$13:$C$21,3,0)&amp;""</f>
        <v>UK</v>
      </c>
      <c r="D20" s="32"/>
      <c r="E20" s="32"/>
      <c r="F20" s="50"/>
      <c r="I20" s="35"/>
      <c r="J20" s="35"/>
    </row>
    <row r="21" spans="1:10" s="1" customFormat="1" ht="37.5" customHeight="1" thickBot="1" x14ac:dyDescent="0.3">
      <c r="A21" s="63" t="str">
        <f>VLOOKUP(LEFT($A22,4),'Auto Responses'!$N$4:$O$38,2,0)&amp;""</f>
        <v xml:space="preserve"> Documentation</v>
      </c>
      <c r="B21" s="22"/>
      <c r="C21" s="13" t="s">
        <v>21</v>
      </c>
      <c r="D21" s="13" t="s">
        <v>22</v>
      </c>
      <c r="E21" s="31" t="s">
        <v>23</v>
      </c>
      <c r="F21" s="183" t="s">
        <v>24</v>
      </c>
      <c r="I21" s="35"/>
      <c r="J21" s="35"/>
    </row>
    <row r="22" spans="1:10" s="1" customFormat="1" ht="180" x14ac:dyDescent="0.25">
      <c r="A22" s="19" t="s">
        <v>56</v>
      </c>
      <c r="B22" s="18" t="str">
        <f>VLOOKUP($A22,Questions!$A$2:$X$333,2,0)</f>
        <v>Do you have a well-documented business continuity plan (BCP), with a clear owner, that is tested annually?*</v>
      </c>
      <c r="C22" s="21" t="s">
        <v>26</v>
      </c>
      <c r="D22" s="34" t="s">
        <v>57</v>
      </c>
      <c r="E22" s="163" t="str">
        <f>IF($C22='Auto Responses'!$J$3,VLOOKUP($A22,Questions!$A$2:$X$333,17,0)&amp;"",IF($C22='Auto Responses'!$J$4,VLOOKUP($A22,Questions!$A$2:$X$333,16,0)&amp;"",VLOOKUP($A22,Questions!$A$2:$X$333,15,0)&amp;""))</f>
        <v/>
      </c>
      <c r="F22" s="197" t="str">
        <f>VLOOKUP($A22,'Institution Evaluation'!$A$56:$F$345,6,0)&amp;""</f>
        <v/>
      </c>
      <c r="I22" s="35"/>
      <c r="J22" s="35"/>
    </row>
    <row r="23" spans="1:10" s="1" customFormat="1" ht="285" x14ac:dyDescent="0.25">
      <c r="A23" s="19" t="s">
        <v>58</v>
      </c>
      <c r="B23" s="18" t="str">
        <f>VLOOKUP($A23,Questions!$A$2:$X$333,2,0)</f>
        <v>Do you have a well-documented disaster recovery plan (DRP), with a clear owner, that is tested annually?*</v>
      </c>
      <c r="C23" s="21" t="s">
        <v>26</v>
      </c>
      <c r="D23" s="34" t="s">
        <v>59</v>
      </c>
      <c r="E23" s="163" t="str">
        <f>IF($C23='Auto Responses'!$J$3,VLOOKUP($A23,Questions!$A$2:$X$333,17,0)&amp;"",IF($C23='Auto Responses'!$J$4,VLOOKUP($A23,Questions!$A$2:$X$333,16,0)&amp;"",VLOOKUP($A23,Questions!$A$2:$X$333,15,0)&amp;""))</f>
        <v/>
      </c>
      <c r="F23" s="197" t="str">
        <f>VLOOKUP($A23,'Institution Evaluation'!$A$56:$F$345,6,0)&amp;""</f>
        <v/>
      </c>
      <c r="I23" s="35"/>
      <c r="J23" s="35"/>
    </row>
    <row r="24" spans="1:10" s="1" customFormat="1" ht="150" x14ac:dyDescent="0.25">
      <c r="A24" s="19" t="s">
        <v>60</v>
      </c>
      <c r="B24" s="18" t="str">
        <f>VLOOKUP($A24,Questions!$A$2:$X$333,2,0)</f>
        <v>Have you undergone a SSAE 18/SOC 2 audit?</v>
      </c>
      <c r="C24" s="21" t="s">
        <v>26</v>
      </c>
      <c r="D24" s="34" t="s">
        <v>61</v>
      </c>
      <c r="E24" s="163" t="str">
        <f>IF($C24='Auto Responses'!$J$3,VLOOKUP($A24,Questions!$A$2:$X$333,17,0)&amp;"",IF($C24='Auto Responses'!$J$4,VLOOKUP($A24,Questions!$A$2:$X$333,16,0)&amp;"",VLOOKUP($A24,Questions!$A$2:$X$333,15,0)&amp;""))</f>
        <v>Provide the date of assessment and include a SOC 2 Type 2 (preferred) or SOC 3 report. If you have a SOC 3 report, state how to obtain a copy. Indicate if your hosting provider was the subject of the audit.</v>
      </c>
      <c r="F24" s="197" t="str">
        <f>VLOOKUP($A24,'Institution Evaluation'!$A$56:$F$345,6,0)&amp;""</f>
        <v/>
      </c>
      <c r="I24" s="35"/>
      <c r="J24" s="35"/>
    </row>
    <row r="25" spans="1:10" s="1" customFormat="1" ht="195" x14ac:dyDescent="0.25">
      <c r="A25" s="19" t="s">
        <v>62</v>
      </c>
      <c r="B25" s="18" t="str">
        <f>VLOOKUP($A25,Questions!$A$2:$X$333,2,0)</f>
        <v>Do you conform with a specific industry standard security framework (e.g., NIST Cybersecurity Framework, CIS Controls, ISO 27001, etc.)?</v>
      </c>
      <c r="C25" s="21" t="s">
        <v>26</v>
      </c>
      <c r="D25" s="34" t="s">
        <v>63</v>
      </c>
      <c r="E25" s="163" t="str">
        <f>IF($C25='Auto Responses'!$J$3,VLOOKUP($A25,Questions!$A$2:$X$333,17,0)&amp;"",IF($C25='Auto Responses'!$J$4,VLOOKUP($A25,Questions!$A$2:$X$333,16,0)&amp;"",VLOOKUP($A25,Questions!$A$2:$X$333,15,0)&amp;""))</f>
        <v>Provide documentation on how your organization conforms to your chosen framework and indicate current certification levels, where appropriate.</v>
      </c>
      <c r="F25" s="197" t="str">
        <f>VLOOKUP($A25,'Institution Evaluation'!$A$56:$F$345,6,0)&amp;""</f>
        <v/>
      </c>
      <c r="I25" s="35"/>
      <c r="J25" s="35"/>
    </row>
    <row r="26" spans="1:10" s="1" customFormat="1" ht="90" x14ac:dyDescent="0.25">
      <c r="A26" s="19" t="s">
        <v>64</v>
      </c>
      <c r="B26" s="18" t="str">
        <f>VLOOKUP($A26,Questions!$A$2:$X$333,2,0)</f>
        <v>Can you provide overall system and/or application architecture diagrams, including a full description of the data flow for all components of the system?</v>
      </c>
      <c r="C26" s="21" t="s">
        <v>26</v>
      </c>
      <c r="D26" s="34" t="s">
        <v>2156</v>
      </c>
      <c r="E26" s="163" t="str">
        <f>IF($C26='Auto Responses'!$J$3,VLOOKUP($A26,Questions!$A$2:$X$333,17,0)&amp;"",IF($C26='Auto Responses'!$J$4,VLOOKUP($A26,Questions!$A$2:$X$333,16,0)&amp;"",VLOOKUP($A26,Questions!$A$2:$X$333,15,0)&amp;""))</f>
        <v>Provide your diagrams (or a valid link to it) upon submission.</v>
      </c>
      <c r="F26" s="197" t="str">
        <f>VLOOKUP($A26,'Institution Evaluation'!$A$56:$F$345,6,0)&amp;""</f>
        <v/>
      </c>
      <c r="I26" s="35"/>
      <c r="J26" s="35"/>
    </row>
    <row r="27" spans="1:10" s="1" customFormat="1" ht="135" x14ac:dyDescent="0.25">
      <c r="A27" s="19" t="s">
        <v>65</v>
      </c>
      <c r="B27" s="18" t="str">
        <f>VLOOKUP($A27,Questions!$A$2:$X$333,2,0)</f>
        <v>Does your organization have a data privacy policy?</v>
      </c>
      <c r="C27" s="21" t="s">
        <v>26</v>
      </c>
      <c r="D27" s="34" t="s">
        <v>66</v>
      </c>
      <c r="E27" s="163" t="str">
        <f>IF($C27='Auto Responses'!$J$3,VLOOKUP($A27,Questions!$A$2:$X$333,17,0)&amp;"",IF($C27='Auto Responses'!$J$4,VLOOKUP($A27,Questions!$A$2:$X$333,16,0)&amp;"",VLOOKUP($A27,Questions!$A$2:$X$333,15,0)&amp;""))</f>
        <v>Provide your data privacy document (or a valid link to it) upon submission.</v>
      </c>
      <c r="F27" s="197" t="str">
        <f>VLOOKUP($A27,'Institution Evaluation'!$A$56:$F$345,6,0)&amp;""</f>
        <v/>
      </c>
      <c r="I27" s="35"/>
      <c r="J27" s="35"/>
    </row>
    <row r="28" spans="1:10" s="1" customFormat="1" ht="345.5" thickBot="1" x14ac:dyDescent="0.3">
      <c r="A28" s="19" t="s">
        <v>67</v>
      </c>
      <c r="B28" s="18" t="str">
        <f>VLOOKUP($A28,Questions!$A$2:$X$333,2,0)</f>
        <v>Do you have a documented, and currently implemented, employee onboarding and offboarding policy?</v>
      </c>
      <c r="C28" s="21" t="s">
        <v>26</v>
      </c>
      <c r="D28" s="34" t="s">
        <v>68</v>
      </c>
      <c r="E28" s="163" t="str">
        <f>IF($C28='Auto Responses'!$J$3,VLOOKUP($A28,Questions!$A$2:$X$333,17,0)&amp;"",IF($C28='Auto Responses'!$J$4,VLOOKUP($A28,Questions!$A$2:$X$333,16,0)&amp;"",VLOOKUP($A28,Questions!$A$2:$X$333,15,0)&amp;""))</f>
        <v>Provide a reference to your employee onboarding and offboarding policy and supporting documentation or submit it along with this fully populated HECVAT.</v>
      </c>
      <c r="F28" s="197" t="str">
        <f>VLOOKUP($A28,'Institution Evaluation'!$A$56:$F$345,6,0)&amp;""</f>
        <v/>
      </c>
      <c r="G28" s="234" t="s">
        <v>36</v>
      </c>
      <c r="I28" s="35"/>
      <c r="J28" s="35"/>
    </row>
    <row r="29" spans="1:10" s="1" customFormat="1" ht="37.5" customHeight="1" thickBot="1" x14ac:dyDescent="0.3">
      <c r="A29" s="63" t="str">
        <f>VLOOKUP(LEFT($A30,4),'Auto Responses'!$N$4:$O$38,2,0)&amp;""</f>
        <v xml:space="preserve"> Assessment of Third Parties</v>
      </c>
      <c r="B29" s="22"/>
      <c r="C29" s="13" t="s">
        <v>21</v>
      </c>
      <c r="D29" s="13" t="s">
        <v>22</v>
      </c>
      <c r="E29" s="31" t="s">
        <v>23</v>
      </c>
      <c r="F29" s="183" t="s">
        <v>24</v>
      </c>
      <c r="I29" s="35"/>
      <c r="J29" s="35"/>
    </row>
    <row r="30" spans="1:10" s="1" customFormat="1" ht="202.5" x14ac:dyDescent="0.25">
      <c r="A30" s="19" t="s">
        <v>69</v>
      </c>
      <c r="B30" s="18" t="str">
        <f>VLOOKUP($A30,Questions!$A$2:$X$333,2,0)</f>
        <v>Do you perform security assessments of third-party companies with which you share data (e.g., hosting providers, cloud services, PaaS, IaaS, SaaS)?*</v>
      </c>
      <c r="C30" s="21" t="s">
        <v>26</v>
      </c>
      <c r="D30" s="313" t="s">
        <v>70</v>
      </c>
      <c r="E30" s="163" t="str">
        <f>IF($C30='Auto Responses'!$J$3,VLOOKUP($A30,Questions!$A$2:$X$333,17,0)&amp;"",IF($C30='Auto Responses'!$J$4,VLOOKUP($A30,Questions!$A$2:$X$333,16,0)&amp;"",IF($C30='Auto Responses'!$J$5,VLOOKUP($A30,Questions!$A$2:$X$333,18,0)&amp;"",VLOOKUP($A30,Questions!$A$2:$X$333,15,0)&amp;"")))</f>
        <v>Provide a summary of your practices that assures that the third party will be subject to the appropriate standards regarding security, service recoverability, and confidentiality.</v>
      </c>
      <c r="F30" s="197" t="str">
        <f>VLOOKUP($A30,'Institution Evaluation'!$A$56:$F$345,6,0)&amp;""</f>
        <v/>
      </c>
      <c r="I30" s="35"/>
      <c r="J30" s="35"/>
    </row>
    <row r="31" spans="1:10" s="1" customFormat="1" ht="162" x14ac:dyDescent="0.25">
      <c r="A31" s="19" t="s">
        <v>71</v>
      </c>
      <c r="B31" s="18" t="str">
        <f>VLOOKUP($A31,Questions!$A$2:$X$333,2,0)</f>
        <v>Do you have contractual language in place with third parties governing access to institutional data?*</v>
      </c>
      <c r="C31" s="21" t="s">
        <v>26</v>
      </c>
      <c r="D31" s="313" t="s">
        <v>72</v>
      </c>
      <c r="E31" s="163" t="str">
        <f>IF($C31='Auto Responses'!$J$3,VLOOKUP($A31,Questions!$A$2:$X$333,17,0)&amp;"",IF($C31='Auto Responses'!$J$4,VLOOKUP($A31,Questions!$A$2:$X$333,16,0)&amp;"",IF($C31='Auto Responses'!$J$5,VLOOKUP($A31,Questions!$A$2:$X$333,18,0)&amp;"",VLOOKUP($A31,Questions!$A$2:$X$333,15,0)&amp;"")))</f>
        <v>List each third party and why institutional data is shared with them. Format example: [Third Party Name] - Reason</v>
      </c>
      <c r="F31" s="197" t="str">
        <f>VLOOKUP($A31,'Institution Evaluation'!$A$56:$F$345,6,0)&amp;""</f>
        <v/>
      </c>
      <c r="I31" s="35"/>
      <c r="J31" s="35"/>
    </row>
    <row r="32" spans="1:10" s="1" customFormat="1" ht="135" x14ac:dyDescent="0.25">
      <c r="A32" s="19" t="s">
        <v>73</v>
      </c>
      <c r="B32" s="18" t="str">
        <f>VLOOKUP($A32,Questions!$A$2:$X$333,2,0)</f>
        <v>Do the contracts in place with these third parties address liability in the event of a data breach?*</v>
      </c>
      <c r="C32" s="21" t="s">
        <v>26</v>
      </c>
      <c r="D32" s="316" t="s">
        <v>74</v>
      </c>
      <c r="E32" s="163" t="str">
        <f>IF($C32='Auto Responses'!$J$3,VLOOKUP($A32,Questions!$A$2:$X$333,17,0)&amp;"",IF($C32='Auto Responses'!$J$4,VLOOKUP($A32,Questions!$A$2:$X$333,16,0)&amp;"",IF($C32='Auto Responses'!$J$5,VLOOKUP($A32,Questions!$A$2:$X$333,18,0)&amp;"",VLOOKUP($A32,Questions!$A$2:$X$333,15,0)&amp;"")))</f>
        <v/>
      </c>
      <c r="F32" s="197" t="str">
        <f>VLOOKUP($A32,'Institution Evaluation'!$A$56:$F$345,6,0)&amp;""</f>
        <v/>
      </c>
      <c r="I32" s="35"/>
      <c r="J32" s="35"/>
    </row>
    <row r="33" spans="1:10" s="1" customFormat="1" ht="148.5" x14ac:dyDescent="0.25">
      <c r="A33" s="19" t="s">
        <v>75</v>
      </c>
      <c r="B33" s="18" t="str">
        <f>VLOOKUP($A33,Questions!$A$2:$X$333,2,0)</f>
        <v>Do you have an implemented third-party management strategy?*</v>
      </c>
      <c r="C33" s="21" t="s">
        <v>26</v>
      </c>
      <c r="D33" s="313" t="s">
        <v>76</v>
      </c>
      <c r="E33" s="163" t="str">
        <f>IF($C33='Auto Responses'!$J$3,VLOOKUP($A33,Questions!$A$2:$X$333,17,0)&amp;"",IF($C33='Auto Responses'!$J$4,VLOOKUP($A33,Questions!$A$2:$X$333,16,0)&amp;"",IF($C33='Auto Responses'!$J$5,VLOOKUP($A33,Questions!$A$2:$X$333,18,0)&amp;"",VLOOKUP($A33,Questions!$A$2:$X$333,15,0)&amp;"")))</f>
        <v>Provide additional information that may help analysts better understand your environment and how it relates to third-party solutions.</v>
      </c>
      <c r="F33" s="197" t="str">
        <f>VLOOKUP($A33,'Institution Evaluation'!$A$56:$F$345,6,0)&amp;""</f>
        <v/>
      </c>
      <c r="I33" s="35"/>
      <c r="J33" s="35"/>
    </row>
    <row r="34" spans="1:10" s="1" customFormat="1" ht="216.5" thickBot="1" x14ac:dyDescent="0.3">
      <c r="A34" s="19" t="s">
        <v>77</v>
      </c>
      <c r="B34" s="18" t="str">
        <f>VLOOKUP($A34,Questions!$A$2:$X$333,2,0)</f>
        <v>Do you have a process and implemented procedures for managing your hardware supply chain (e.g., telecommunications equipment, export licensing, computing devices)?</v>
      </c>
      <c r="C34" s="21" t="s">
        <v>26</v>
      </c>
      <c r="D34" s="313" t="s">
        <v>78</v>
      </c>
      <c r="E34" s="163" t="str">
        <f>IF($C34='Auto Responses'!$J$3,VLOOKUP($A34,Questions!$A$2:$X$333,17,0)&amp;"",IF($C34='Auto Responses'!$J$4,VLOOKUP($A34,Questions!$A$2:$X$333,16,0)&amp;"",VLOOKUP($A34,Questions!$A$2:$X$333,15,0)&amp;""))</f>
        <v>State what countries and/or regions this process is compliant with.</v>
      </c>
      <c r="F34" s="197" t="str">
        <f>VLOOKUP($A34,'Institution Evaluation'!$A$56:$F$345,6,0)&amp;""</f>
        <v/>
      </c>
      <c r="G34" s="234" t="s">
        <v>36</v>
      </c>
      <c r="I34" s="35"/>
      <c r="J34" s="35"/>
    </row>
    <row r="35" spans="1:10" s="1" customFormat="1" ht="37.5" customHeight="1" thickBot="1" x14ac:dyDescent="0.3">
      <c r="A35" s="63" t="str">
        <f>VLOOKUP(LEFT($A36,4),'Auto Responses'!$N$4:$O$38,2,0)&amp;""</f>
        <v xml:space="preserve"> Change Management</v>
      </c>
      <c r="B35" s="22"/>
      <c r="C35" s="13" t="s">
        <v>21</v>
      </c>
      <c r="D35" s="13" t="s">
        <v>22</v>
      </c>
      <c r="E35" s="31" t="s">
        <v>23</v>
      </c>
      <c r="F35" s="183" t="s">
        <v>24</v>
      </c>
      <c r="I35" s="35"/>
      <c r="J35" s="35"/>
    </row>
    <row r="36" spans="1:10" s="1" customFormat="1" ht="81" x14ac:dyDescent="0.25">
      <c r="A36" s="19" t="s">
        <v>79</v>
      </c>
      <c r="B36" s="18" t="str">
        <f>VLOOKUP($A36,Questions!$A$2:$X$333,2,0)</f>
        <v>Will the institution be notified of major changes to your environment that could impact the institution's security posture?*</v>
      </c>
      <c r="C36" s="21" t="s">
        <v>26</v>
      </c>
      <c r="D36" s="313" t="s">
        <v>80</v>
      </c>
      <c r="E36" s="163" t="str">
        <f>IF($C36='Auto Responses'!$J$3,VLOOKUP($A36,Questions!$A$2:$X$333,17,0)&amp;"",IF($C36='Auto Responses'!$J$4,VLOOKUP($A36,Questions!$A$2:$X$333,16,0)&amp;"",VLOOKUP($A36,Questions!$A$2:$X$333,15,0)&amp;""))</f>
        <v>State how and when the institution will be notified of major changes to your environment.</v>
      </c>
      <c r="F36" s="197" t="str">
        <f>VLOOKUP($A36,'Institution Evaluation'!$A$56:$F$345,6,0)&amp;""</f>
        <v/>
      </c>
      <c r="I36" s="35"/>
      <c r="J36" s="35"/>
    </row>
    <row r="37" spans="1:10" s="1" customFormat="1" ht="54" customHeight="1" x14ac:dyDescent="0.25">
      <c r="A37" s="19" t="s">
        <v>81</v>
      </c>
      <c r="B37" s="18" t="str">
        <f>VLOOKUP($A37,Questions!$A$2:$X$333,2,0)</f>
        <v>Does the system support client customizations from one release to another?*</v>
      </c>
      <c r="C37" s="21" t="s">
        <v>26</v>
      </c>
      <c r="D37" s="313" t="s">
        <v>82</v>
      </c>
      <c r="E37" s="163" t="str">
        <f>IF($C37='Auto Responses'!$J$3,VLOOKUP($A37,Questions!$A$2:$X$333,17,0)&amp;"",IF($C37='Auto Responses'!$J$4,VLOOKUP($A37,Questions!$A$2:$X$333,16,0)&amp;"",IF($C37='Auto Responses'!$J$5,VLOOKUP($A37,Questions!$A$2:$X$333,18,0)&amp;"",VLOOKUP($A37,Questions!$A$2:$X$333,15,0)&amp;"")))</f>
        <v>Describe or provide reference to your solution support strategy in regard to maintaining client customizations from one release to another.</v>
      </c>
      <c r="F37" s="197" t="str">
        <f>VLOOKUP($A37,'Institution Evaluation'!$A$56:$F$345,6,0)&amp;""</f>
        <v/>
      </c>
      <c r="I37" s="35"/>
      <c r="J37" s="35"/>
    </row>
    <row r="38" spans="1:10" s="1" customFormat="1" ht="148.5" x14ac:dyDescent="0.25">
      <c r="A38" s="19" t="s">
        <v>83</v>
      </c>
      <c r="B38" s="18" t="str">
        <f>VLOOKUP($A38,Questions!$A$2:$X$333,2,0)</f>
        <v>Do you have an implemented system configuration management process (e.g., secure "gold" images, etc.)?*</v>
      </c>
      <c r="C38" s="21" t="s">
        <v>26</v>
      </c>
      <c r="D38" s="313" t="s">
        <v>84</v>
      </c>
      <c r="E38" s="163" t="str">
        <f>IF($C38='Auto Responses'!$J$3,VLOOKUP($A38,Questions!$A$2:$X$333,17,0)&amp;"",IF($C38='Auto Responses'!$J$4,VLOOKUP($A38,Questions!$A$2:$X$333,16,0)&amp;"",IF($C38='Auto Responses'!$J$5,VLOOKUP($A38,Questions!$A$2:$X$333,18,0)&amp;"",VLOOKUP($A38,Questions!$A$2:$X$333,15,0)&amp;"")))</f>
        <v>Summarize your implemented system configuration management process.</v>
      </c>
      <c r="F38" s="197" t="str">
        <f>VLOOKUP($A38,'Institution Evaluation'!$A$56:$F$345,6,0)&amp;""</f>
        <v/>
      </c>
      <c r="I38" s="35"/>
      <c r="J38" s="35"/>
    </row>
    <row r="39" spans="1:10" s="1" customFormat="1" ht="189" x14ac:dyDescent="0.25">
      <c r="A39" s="19" t="s">
        <v>85</v>
      </c>
      <c r="B39" s="18" t="str">
        <f>VLOOKUP($A39,Questions!$A$2:$X$333,2,0)</f>
        <v>Do you have a documented change management process?</v>
      </c>
      <c r="C39" s="21" t="s">
        <v>26</v>
      </c>
      <c r="D39" s="313" t="s">
        <v>86</v>
      </c>
      <c r="E39" s="163" t="str">
        <f>IF($C39='Auto Responses'!$J$3,VLOOKUP($A39,Questions!$A$2:$X$333,17,0)&amp;"",IF($C39='Auto Responses'!$J$4,VLOOKUP($A39,Questions!$A$2:$X$333,16,0)&amp;"",VLOOKUP($A39,Questions!$A$2:$X$333,15,0)&amp;""))</f>
        <v>Summarize your current change management process.</v>
      </c>
      <c r="F39" s="197" t="str">
        <f>VLOOKUP($A39,'Institution Evaluation'!$A$56:$F$345,6,0)&amp;""</f>
        <v/>
      </c>
      <c r="I39" s="35"/>
      <c r="J39" s="35"/>
    </row>
    <row r="40" spans="1:10" s="1" customFormat="1" ht="229.5" x14ac:dyDescent="0.25">
      <c r="A40" s="19" t="s">
        <v>87</v>
      </c>
      <c r="B40" s="18" t="str">
        <f>VLOOKUP($A40,Questions!$A$2:$X$333,2,0)</f>
        <v>Does your change management process minimally include authorization, impact analysis, testing, and validation before moving changes to production?</v>
      </c>
      <c r="C40" s="21" t="s">
        <v>26</v>
      </c>
      <c r="D40" s="313" t="s">
        <v>88</v>
      </c>
      <c r="E40" s="163" t="str">
        <f>IF($C40='Auto Responses'!$J$3,VLOOKUP($A40,Questions!$A$2:$X$333,17,0)&amp;"",IF($C40='Auto Responses'!$J$4,VLOOKUP($A40,Questions!$A$2:$X$333,16,0)&amp;"",VLOOKUP($A40,Questions!$A$2:$X$333,15,0)&amp;""))</f>
        <v>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v>
      </c>
      <c r="F40" s="197" t="str">
        <f>VLOOKUP($A40,'Institution Evaluation'!$A$56:$F$345,6,0)&amp;""</f>
        <v/>
      </c>
      <c r="I40" s="35"/>
      <c r="J40" s="35"/>
    </row>
    <row r="41" spans="1:10" s="1" customFormat="1" ht="162" x14ac:dyDescent="0.25">
      <c r="A41" s="19" t="s">
        <v>89</v>
      </c>
      <c r="B41" s="18" t="str">
        <f>VLOOKUP($A41,Questions!$A$2:$X$333,2,0)</f>
        <v>Does your change management process verify that all required third-party libraries and dependencies are still supported with each major change?</v>
      </c>
      <c r="C41" s="21" t="s">
        <v>26</v>
      </c>
      <c r="D41" s="313" t="s">
        <v>2145</v>
      </c>
      <c r="E41" s="163" t="str">
        <f>IF($C41='Auto Responses'!$J$3,VLOOKUP($A41,Questions!$A$2:$X$333,17,0)&amp;"",IF($C41='Auto Responses'!$J$4,VLOOKUP($A41,Questions!$A$2:$X$333,16,0)&amp;"",VLOOKUP($A41,Questions!$A$2:$X$333,15,0)&amp;""))</f>
        <v>Please describe your program to track these dependencies.</v>
      </c>
      <c r="F41" s="197" t="str">
        <f>VLOOKUP($A41,'Institution Evaluation'!$A$56:$F$345,6,0)&amp;""</f>
        <v/>
      </c>
      <c r="I41" s="35"/>
      <c r="J41" s="35"/>
    </row>
    <row r="42" spans="1:10" s="1" customFormat="1" ht="297" x14ac:dyDescent="0.25">
      <c r="A42" s="19" t="s">
        <v>90</v>
      </c>
      <c r="B42" s="18" t="str">
        <f>VLOOKUP($A42,Questions!$A$2:$X$333,2,0)</f>
        <v>Do you have policy and procedure, currently implemented, managing how critical patches are applied to all systems and applications?</v>
      </c>
      <c r="C42" s="21" t="s">
        <v>26</v>
      </c>
      <c r="D42" s="313" t="s">
        <v>2146</v>
      </c>
      <c r="E42" s="163" t="str">
        <f>IF($C42='Auto Responses'!$J$3,VLOOKUP($A42,Questions!$A$2:$X$333,17,0)&amp;"",IF($C42='Auto Responses'!$J$4,VLOOKUP($A42,Questions!$A$2:$X$333,16,0)&amp;"",VLOOKUP($A42,Questions!$A$2:$X$333,15,0)&amp;""))</f>
        <v>Summarize the policy and procedure(s) managing how critical patches are applied to systems and applications.</v>
      </c>
      <c r="F42" s="197" t="str">
        <f>VLOOKUP($A42,'Institution Evaluation'!$A$56:$F$345,6,0)&amp;""</f>
        <v/>
      </c>
      <c r="I42" s="35"/>
      <c r="J42" s="35"/>
    </row>
    <row r="43" spans="1:10" s="1" customFormat="1" ht="189" x14ac:dyDescent="0.25">
      <c r="A43" s="19" t="s">
        <v>91</v>
      </c>
      <c r="B43" s="18" t="str">
        <f>VLOOKUP($A43,Questions!$A$2:$X$333,2,0)</f>
        <v>Have you implemented policies and procedures that guide how security risks are mitigated until patches can be applied?</v>
      </c>
      <c r="C43" s="21" t="s">
        <v>26</v>
      </c>
      <c r="D43" s="313" t="s">
        <v>92</v>
      </c>
      <c r="E43" s="163" t="str">
        <f>IF($C43='Auto Responses'!$J$3,VLOOKUP($A43,Questions!$A$2:$X$333,17,0)&amp;"",IF($C43='Auto Responses'!$J$4,VLOOKUP($A43,Questions!$A$2:$X$333,16,0)&amp;"",VLOOKUP($A43,Questions!$A$2:$X$333,15,0)&amp;""))</f>
        <v>Summarize the policy and procedure(s) guiding risk mitigation practices before critical patches can be applied.</v>
      </c>
      <c r="F43" s="197" t="str">
        <f>VLOOKUP($A43,'Institution Evaluation'!$A$56:$F$345,6,0)&amp;""</f>
        <v/>
      </c>
      <c r="I43" s="35"/>
      <c r="J43" s="35"/>
    </row>
    <row r="44" spans="1:10" s="1" customFormat="1" ht="81" x14ac:dyDescent="0.25">
      <c r="A44" s="19" t="s">
        <v>93</v>
      </c>
      <c r="B44" s="18" t="str">
        <f>VLOOKUP($A44,Questions!$A$2:$X$333,2,0)</f>
        <v>Do clients have the option to not participate in or postpone an upgrade to a new release?</v>
      </c>
      <c r="C44" s="21" t="s">
        <v>46</v>
      </c>
      <c r="D44" s="313" t="s">
        <v>94</v>
      </c>
      <c r="E44" s="163" t="str">
        <f>IF($C44='Auto Responses'!$J$3,VLOOKUP($A44,Questions!$A$2:$X$333,17,0)&amp;"",IF($C44='Auto Responses'!$J$4,VLOOKUP($A44,Questions!$A$2:$X$333,16,0)&amp;"",IF($C44='Auto Responses'!$J$5,VLOOKUP($A44,Questions!$A$2:$X$333,18,0)&amp;"",VLOOKUP($A44,Questions!$A$2:$X$333,15,0)&amp;"")))</f>
        <v>Summarize why clients do not have alternative release options.</v>
      </c>
      <c r="F44" s="197" t="str">
        <f>VLOOKUP($A44,'Institution Evaluation'!$A$56:$F$345,6,0)&amp;""</f>
        <v/>
      </c>
      <c r="I44" s="35"/>
      <c r="J44" s="35"/>
    </row>
    <row r="45" spans="1:10" s="1" customFormat="1" ht="67.5" x14ac:dyDescent="0.25">
      <c r="A45" s="19" t="s">
        <v>95</v>
      </c>
      <c r="B45" s="18" t="str">
        <f>VLOOKUP($A45,Questions!$A$2:$X$333,2,0)</f>
        <v>Do you have a fully implemented solution support strategy that defines how many concurrent versions you support?</v>
      </c>
      <c r="C45" s="21" t="s">
        <v>26</v>
      </c>
      <c r="D45" s="313" t="s">
        <v>96</v>
      </c>
      <c r="E45" s="163" t="str">
        <f>IF($C45='Auto Responses'!$J$3,VLOOKUP($A45,Questions!$A$2:$X$333,17,0)&amp;"",IF($C45='Auto Responses'!$J$4,VLOOKUP($A45,Questions!$A$2:$X$333,16,0)&amp;"",IF($C45='Auto Responses'!$J$5,VLOOKUP($A45,Questions!$A$2:$X$333,18,0)&amp;"",VLOOKUP($A45,Questions!$A$2:$X$333,15,0)&amp;"")))</f>
        <v>Describe or provide a reference to your solution support strategy in regard to maintaining software currency (i.e., how many concurrent versions are you willing to run and support?).</v>
      </c>
      <c r="F45" s="197" t="str">
        <f>VLOOKUP($A45,'Institution Evaluation'!$A$56:$F$345,6,0)&amp;""</f>
        <v/>
      </c>
      <c r="I45" s="35"/>
      <c r="J45" s="35"/>
    </row>
    <row r="46" spans="1:10" s="1" customFormat="1" ht="40.5" x14ac:dyDescent="0.25">
      <c r="A46" s="19" t="s">
        <v>97</v>
      </c>
      <c r="B46" s="18" t="str">
        <f>VLOOKUP($A46,Questions!$A$2:$X$333,2,0)</f>
        <v>Do you have a release schedule for product updates?</v>
      </c>
      <c r="C46" s="21" t="s">
        <v>26</v>
      </c>
      <c r="D46" s="313" t="s">
        <v>98</v>
      </c>
      <c r="E46" s="163" t="str">
        <f>IF($C46='Auto Responses'!$J$3,VLOOKUP($A46,Questions!$A$2:$X$333,17,0)&amp;"",IF($C46='Auto Responses'!$J$4,VLOOKUP($A46,Questions!$A$2:$X$333,16,0)&amp;"",IF($C46='Auto Responses'!$J$5,VLOOKUP($A46,Questions!$A$2:$X$333,18,0)&amp;"",VLOOKUP($A46,Questions!$A$2:$X$333,15,0)&amp;"")))</f>
        <v>Provide a reference to this solution's release schedule.</v>
      </c>
      <c r="F46" s="197" t="str">
        <f>VLOOKUP($A46,'Institution Evaluation'!$A$56:$F$345,6,0)&amp;""</f>
        <v/>
      </c>
      <c r="I46" s="35"/>
      <c r="J46" s="35"/>
    </row>
    <row r="47" spans="1:10" s="1" customFormat="1" ht="27" x14ac:dyDescent="0.25">
      <c r="A47" s="19" t="s">
        <v>99</v>
      </c>
      <c r="B47" s="18" t="str">
        <f>VLOOKUP($A47,Questions!$A$2:$X$333,2,0)</f>
        <v>Do you have a technology roadmap, for at least the next two years, for enhancements and bug fixes for the solution being assessed?</v>
      </c>
      <c r="C47" s="21" t="s">
        <v>26</v>
      </c>
      <c r="D47" s="313" t="s">
        <v>100</v>
      </c>
      <c r="E47" s="163" t="str">
        <f>IF($C47='Auto Responses'!$J$3,VLOOKUP($A47,Questions!$A$2:$X$333,17,0)&amp;"",IF($C47='Auto Responses'!$J$4,VLOOKUP($A47,Questions!$A$2:$X$333,16,0)&amp;"",IF($C47='Auto Responses'!$J$5,VLOOKUP($A47,Questions!$A$2:$X$333,18,0)&amp;"",VLOOKUP($A47,Questions!$A$2:$X$333,15,0)&amp;"")))</f>
        <v>Provide a reference to your technology roadmap.</v>
      </c>
      <c r="F47" s="197" t="str">
        <f>VLOOKUP($A47,'Institution Evaluation'!$A$56:$F$345,6,0)&amp;""</f>
        <v/>
      </c>
      <c r="I47" s="35"/>
      <c r="J47" s="35"/>
    </row>
    <row r="48" spans="1:10" s="1" customFormat="1" ht="94.5" x14ac:dyDescent="0.25">
      <c r="A48" s="19" t="s">
        <v>101</v>
      </c>
      <c r="B48" s="18" t="str">
        <f>VLOOKUP($A48,Questions!$A$2:$X$333,2,0)</f>
        <v>Can solution updates be completed without institutional involvement (i.e., technically or organizationally)?</v>
      </c>
      <c r="C48" s="21" t="s">
        <v>26</v>
      </c>
      <c r="D48" s="313" t="s">
        <v>102</v>
      </c>
      <c r="E48" s="163" t="str">
        <f>IF($C48='Auto Responses'!$J$3,VLOOKUP($A48,Questions!$A$2:$X$333,17,0)&amp;"",IF($C48='Auto Responses'!$J$4,VLOOKUP($A48,Questions!$A$2:$X$333,16,0)&amp;"",VLOOKUP($A48,Questions!$A$2:$X$333,15,0)&amp;""))</f>
        <v/>
      </c>
      <c r="F48" s="197" t="str">
        <f>VLOOKUP($A48,'Institution Evaluation'!$A$56:$F$345,6,0)&amp;""</f>
        <v/>
      </c>
      <c r="I48" s="35"/>
      <c r="J48" s="35"/>
    </row>
    <row r="49" spans="1:10" s="1" customFormat="1" ht="54" x14ac:dyDescent="0.25">
      <c r="A49" s="19" t="s">
        <v>103</v>
      </c>
      <c r="B49" s="18" t="str">
        <f>VLOOKUP($A49,Questions!$A$2:$X$333,2,0)</f>
        <v>Are upgrades or system changes installed during off-peak hours or in a manner that does not impact the customer?</v>
      </c>
      <c r="C49" s="21" t="s">
        <v>26</v>
      </c>
      <c r="D49" s="313" t="s">
        <v>104</v>
      </c>
      <c r="E49" s="163" t="str">
        <f>IF($C49='Auto Responses'!$J$3,VLOOKUP($A49,Questions!$A$2:$X$333,17,0)&amp;"",IF($C49='Auto Responses'!$J$4,VLOOKUP($A49,Questions!$A$2:$X$333,16,0)&amp;"",VLOOKUP($A49,Questions!$A$2:$X$333,15,0)&amp;""))</f>
        <v>Define current off-peak hours, including time zones as necessary.</v>
      </c>
      <c r="F49" s="197" t="str">
        <f>VLOOKUP($A49,'Institution Evaluation'!$A$56:$F$345,6,0)&amp;""</f>
        <v/>
      </c>
      <c r="I49" s="35"/>
      <c r="J49" s="35"/>
    </row>
    <row r="50" spans="1:10" s="1" customFormat="1" ht="106" customHeight="1" x14ac:dyDescent="0.25">
      <c r="A50" s="19" t="s">
        <v>105</v>
      </c>
      <c r="B50" s="18" t="str">
        <f>VLOOKUP($A50,Questions!$A$2:$X$333,2,0)</f>
        <v>Do procedures exist to provide that emergency changes are documented and authorized (including after-the-fact approval)?</v>
      </c>
      <c r="C50" s="21" t="s">
        <v>26</v>
      </c>
      <c r="D50" s="313" t="s">
        <v>106</v>
      </c>
      <c r="E50" s="163" t="str">
        <f>IF($C50='Auto Responses'!$J$3,VLOOKUP($A50,Questions!$A$2:$X$333,17,0)&amp;"",IF($C50='Auto Responses'!$J$4,VLOOKUP($A50,Questions!$A$2:$X$333,16,0)&amp;"",VLOOKUP($A50,Questions!$A$2:$X$333,15,0)&amp;""))</f>
        <v>Summarize implemented procedures ensuring that emergency changes are documented and authorized.</v>
      </c>
      <c r="F50" s="197" t="str">
        <f>VLOOKUP($A50,'Institution Evaluation'!$A$56:$F$345,6,0)&amp;""</f>
        <v/>
      </c>
      <c r="I50" s="35"/>
      <c r="J50" s="35"/>
    </row>
    <row r="51" spans="1:10" s="1" customFormat="1" ht="230" thickBot="1" x14ac:dyDescent="0.3">
      <c r="A51" s="19" t="s">
        <v>107</v>
      </c>
      <c r="B51" s="18" t="str">
        <f>VLOOKUP($A51,Questions!$A$2:$X$333,2,0)</f>
        <v>Do you have a systems management and configuration strategy that encompasses servers, appliances, cloud services, applications, and mobile devices (company and employee owned)?</v>
      </c>
      <c r="C51" s="21" t="s">
        <v>26</v>
      </c>
      <c r="D51" s="313" t="s">
        <v>108</v>
      </c>
      <c r="E51" s="163" t="str">
        <f>IF($C51='Auto Responses'!$J$3,VLOOKUP($A51,Questions!$A$2:$X$333,17,0)&amp;"",IF($C51='Auto Responses'!$J$4,VLOOKUP($A51,Questions!$A$2:$X$333,16,0)&amp;"",VLOOKUP($A51,Questions!$A$2:$X$333,15,0)&amp;""))</f>
        <v>Summarize your systems management and configuration strategy.</v>
      </c>
      <c r="F51" s="197" t="str">
        <f>VLOOKUP($A51,'Institution Evaluation'!$A$56:$F$345,6,0)&amp;""</f>
        <v/>
      </c>
      <c r="G51" s="234" t="s">
        <v>36</v>
      </c>
      <c r="I51" s="35"/>
      <c r="J51" s="35"/>
    </row>
    <row r="52" spans="1:10" s="1" customFormat="1" ht="37.5" customHeight="1" thickBot="1" x14ac:dyDescent="0.3">
      <c r="A52" s="63" t="str">
        <f>VLOOKUP(LEFT($A53,4),'Auto Responses'!$N$4:$O$38,2,0)&amp;""</f>
        <v xml:space="preserve"> Policies, Processes, and Procedures</v>
      </c>
      <c r="B52" s="22"/>
      <c r="C52" s="13" t="s">
        <v>21</v>
      </c>
      <c r="D52" s="13" t="s">
        <v>22</v>
      </c>
      <c r="E52" s="31" t="s">
        <v>23</v>
      </c>
      <c r="F52" s="183" t="s">
        <v>24</v>
      </c>
      <c r="I52" s="35"/>
      <c r="J52" s="35"/>
    </row>
    <row r="53" spans="1:10" s="1" customFormat="1" ht="121.5" x14ac:dyDescent="0.25">
      <c r="A53" s="19" t="s">
        <v>109</v>
      </c>
      <c r="B53" s="18" t="str">
        <f>VLOOKUP($A53,Questions!$A$2:$X$333,2,0)</f>
        <v>Do you have a documented patch management process?*</v>
      </c>
      <c r="C53" s="21" t="s">
        <v>26</v>
      </c>
      <c r="D53" s="313" t="s">
        <v>110</v>
      </c>
      <c r="E53" s="163" t="str">
        <f>IF($C53='Auto Responses'!$J$3,VLOOKUP($A53,Questions!$A$2:$X$333,17,0)&amp;"",IF($C53='Auto Responses'!$J$4,VLOOKUP($A53,Questions!$A$2:$X$333,16,0)&amp;"",VLOOKUP($A53,Questions!$A$2:$X$333,15,0)&amp;""))</f>
        <v/>
      </c>
      <c r="F53" s="197" t="str">
        <f>VLOOKUP($A53,'Institution Evaluation'!$A$56:$F$345,6,0)&amp;""</f>
        <v/>
      </c>
      <c r="I53" s="35"/>
      <c r="J53" s="35"/>
    </row>
    <row r="54" spans="1:10" s="1" customFormat="1" ht="216" x14ac:dyDescent="0.25">
      <c r="A54" s="19" t="s">
        <v>111</v>
      </c>
      <c r="B54" s="18" t="str">
        <f>VLOOKUP($A54,Questions!$A$2:$X$333,2,0)</f>
        <v>Can your organization comply with institutional policies on privacy and data protection with regard to users of institutional systems, if required?*</v>
      </c>
      <c r="C54" s="21" t="s">
        <v>26</v>
      </c>
      <c r="D54" s="313" t="s">
        <v>112</v>
      </c>
      <c r="E54" s="163" t="str">
        <f>IF($C54='Auto Responses'!$J$3,VLOOKUP($A54,Questions!$A$2:$X$333,17,0)&amp;"",IF($C54='Auto Responses'!$J$4,VLOOKUP($A54,Questions!$A$2:$X$333,16,0)&amp;"",VLOOKUP($A54,Questions!$A$2:$X$333,15,0)&amp;""))</f>
        <v>State that you have reviewed the institution's IT policies with regards to user privacy and data protection.</v>
      </c>
      <c r="F54" s="197" t="str">
        <f>VLOOKUP($A54,'Institution Evaluation'!$A$56:$F$345,6,0)&amp;""</f>
        <v/>
      </c>
      <c r="I54" s="35"/>
      <c r="J54" s="35"/>
    </row>
    <row r="55" spans="1:10" s="1" customFormat="1" ht="27" x14ac:dyDescent="0.25">
      <c r="A55" s="19" t="s">
        <v>113</v>
      </c>
      <c r="B55" s="18" t="str">
        <f>VLOOKUP($A55,Questions!$A$2:$X$333,2,0)</f>
        <v>Is your company subject to the institution's geographic region's laws and regulations?*</v>
      </c>
      <c r="C55" s="21" t="s">
        <v>26</v>
      </c>
      <c r="D55" s="313" t="s">
        <v>114</v>
      </c>
      <c r="E55" s="163" t="str">
        <f>IF($C55='Auto Responses'!$J$3,VLOOKUP($A55,Questions!$A$2:$X$333,17,0)&amp;"",IF($C55='Auto Responses'!$J$4,VLOOKUP($A55,Questions!$A$2:$X$333,16,0)&amp;"",VLOOKUP($A55,Questions!$A$2:$X$333,15,0)&amp;""))</f>
        <v>State the country that governs and regulates your company.</v>
      </c>
      <c r="F55" s="197" t="str">
        <f>VLOOKUP($A55,'Institution Evaluation'!$A$56:$F$345,6,0)&amp;""</f>
        <v/>
      </c>
      <c r="I55" s="35"/>
      <c r="J55" s="35"/>
    </row>
    <row r="56" spans="1:10" s="1" customFormat="1" ht="81" x14ac:dyDescent="0.25">
      <c r="A56" s="19" t="s">
        <v>115</v>
      </c>
      <c r="B56" s="18" t="str">
        <f>VLOOKUP($A56,Questions!$A$2:$X$333,2,0)</f>
        <v>Can you accommodate encryption requirements using open standards?</v>
      </c>
      <c r="C56" s="21" t="s">
        <v>26</v>
      </c>
      <c r="D56" s="313" t="s">
        <v>116</v>
      </c>
      <c r="E56" s="163" t="str">
        <f>IF($C56='Auto Responses'!$J$3,VLOOKUP($A56,Questions!$A$2:$X$333,17,0)&amp;"",IF($C56='Auto Responses'!$J$4,VLOOKUP($A56,Questions!$A$2:$X$333,16,0)&amp;"",VLOOKUP($A56,Questions!$A$2:$X$333,15,0)&amp;""))</f>
        <v/>
      </c>
      <c r="F56" s="197" t="str">
        <f>VLOOKUP($A56,'Institution Evaluation'!$A$56:$F$345,6,0)&amp;""</f>
        <v/>
      </c>
      <c r="I56" s="35"/>
      <c r="J56" s="35"/>
    </row>
    <row r="57" spans="1:10" s="1" customFormat="1" ht="216" x14ac:dyDescent="0.25">
      <c r="A57" s="19" t="s">
        <v>117</v>
      </c>
      <c r="B57" s="18" t="str">
        <f>VLOOKUP($A57,Questions!$A$2:$X$333,2,0)</f>
        <v>Do you have a documented systems development life cycle (SDLC)?</v>
      </c>
      <c r="C57" s="21" t="s">
        <v>26</v>
      </c>
      <c r="D57" s="313" t="s">
        <v>118</v>
      </c>
      <c r="E57" s="163" t="str">
        <f>IF($C57='Auto Responses'!$J$3,VLOOKUP($A57,Questions!$A$2:$X$333,17,0)&amp;"",IF($C57='Auto Responses'!$J$4,VLOOKUP($A57,Questions!$A$2:$X$333,16,0)&amp;"",VLOOKUP($A57,Questions!$A$2:$X$333,15,0)&amp;""))</f>
        <v>Briefly summarize your SDLC or provide a link or attachment.</v>
      </c>
      <c r="F57" s="197" t="str">
        <f>VLOOKUP($A57,'Institution Evaluation'!$A$56:$F$345,6,0)&amp;""</f>
        <v/>
      </c>
      <c r="I57" s="35"/>
      <c r="J57" s="35"/>
    </row>
    <row r="58" spans="1:10" s="1" customFormat="1" ht="81" x14ac:dyDescent="0.25">
      <c r="A58" s="19" t="s">
        <v>119</v>
      </c>
      <c r="B58" s="18" t="str">
        <f>VLOOKUP($A58,Questions!$A$2:$X$333,2,0)</f>
        <v>Do you perform background screenings or multi-state background checks on all employees prior to their first day of work?</v>
      </c>
      <c r="C58" s="21" t="s">
        <v>26</v>
      </c>
      <c r="D58" s="313" t="s">
        <v>120</v>
      </c>
      <c r="E58" s="163" t="str">
        <f>IF($C58='Auto Responses'!$J$3,VLOOKUP($A58,Questions!$A$2:$X$333,17,0)&amp;"",IF($C58='Auto Responses'!$J$4,VLOOKUP($A58,Questions!$A$2:$X$333,16,0)&amp;"",VLOOKUP($A58,Questions!$A$2:$X$333,15,0)&amp;""))</f>
        <v>Summarize your background check practices.</v>
      </c>
      <c r="F58" s="197" t="str">
        <f>VLOOKUP($A58,'Institution Evaluation'!$A$56:$F$345,6,0)&amp;""</f>
        <v/>
      </c>
      <c r="I58" s="35"/>
      <c r="J58" s="35"/>
    </row>
    <row r="59" spans="1:10" s="1" customFormat="1" ht="162" x14ac:dyDescent="0.25">
      <c r="A59" s="19" t="s">
        <v>121</v>
      </c>
      <c r="B59" s="18" t="str">
        <f>VLOOKUP($A59,Questions!$A$2:$X$333,2,0)</f>
        <v>Do you require new employees to fill out agreements and review policies?</v>
      </c>
      <c r="C59" s="21" t="s">
        <v>26</v>
      </c>
      <c r="D59" s="313" t="s">
        <v>122</v>
      </c>
      <c r="E59" s="163" t="str">
        <f>IF($C59='Auto Responses'!$J$3,VLOOKUP($A59,Questions!$A$2:$X$333,17,0)&amp;"",IF($C59='Auto Responses'!$J$4,VLOOKUP($A59,Questions!$A$2:$X$333,16,0)&amp;"",VLOOKUP($A59,Questions!$A$2:$X$333,15,0)&amp;""))</f>
        <v>Summarize the required agreements and reviewed policies.</v>
      </c>
      <c r="F59" s="197" t="str">
        <f>VLOOKUP($A59,'Institution Evaluation'!$A$56:$F$345,6,0)&amp;""</f>
        <v/>
      </c>
      <c r="I59" s="35"/>
      <c r="J59" s="35"/>
    </row>
    <row r="60" spans="1:10" s="1" customFormat="1" ht="81" x14ac:dyDescent="0.25">
      <c r="A60" s="19" t="s">
        <v>123</v>
      </c>
      <c r="B60" s="18" t="str">
        <f>VLOOKUP($A60,Questions!$A$2:$X$333,2,0)</f>
        <v>Do you have a documented information security policy?</v>
      </c>
      <c r="C60" s="21" t="s">
        <v>26</v>
      </c>
      <c r="D60" s="313" t="s">
        <v>124</v>
      </c>
      <c r="E60" s="163" t="str">
        <f>IF($C60='Auto Responses'!$J$3,VLOOKUP($A60,Questions!$A$2:$X$333,17,0)&amp;"",IF($C60='Auto Responses'!$J$4,VLOOKUP($A60,Questions!$A$2:$X$333,16,0)&amp;"",VLOOKUP($A60,Questions!$A$2:$X$333,15,0)&amp;""))</f>
        <v>Provide a reference to your information security policy or submit documentation with this fully populated HECVAT.</v>
      </c>
      <c r="F60" s="197" t="str">
        <f>VLOOKUP($A60,'Institution Evaluation'!$A$56:$F$345,6,0)&amp;""</f>
        <v/>
      </c>
      <c r="I60" s="35"/>
      <c r="J60" s="35"/>
    </row>
    <row r="61" spans="1:10" s="1" customFormat="1" ht="297" x14ac:dyDescent="0.25">
      <c r="A61" s="19" t="s">
        <v>125</v>
      </c>
      <c r="B61" s="18" t="str">
        <f>VLOOKUP($A61,Questions!$A$2:$X$333,2,0)</f>
        <v>Are information security principles designed into the product lifecycle?</v>
      </c>
      <c r="C61" s="21" t="s">
        <v>26</v>
      </c>
      <c r="D61" s="313" t="s">
        <v>126</v>
      </c>
      <c r="E61" s="163" t="str">
        <f>IF($C61='Auto Responses'!$J$3,VLOOKUP($A61,Questions!$A$2:$X$333,17,0)&amp;"",IF($C61='Auto Responses'!$J$4,VLOOKUP($A61,Questions!$A$2:$X$333,16,0)&amp;"",VLOOKUP($A61,Questions!$A$2:$X$333,15,0)&amp;""))</f>
        <v>Summarize the information security principles designed into the product lifecycle.</v>
      </c>
      <c r="F61" s="197" t="str">
        <f>VLOOKUP($A61,'Institution Evaluation'!$A$56:$F$345,6,0)&amp;""</f>
        <v/>
      </c>
      <c r="I61" s="35"/>
      <c r="J61" s="35"/>
    </row>
    <row r="62" spans="1:10" s="1" customFormat="1" ht="310.5" x14ac:dyDescent="0.25">
      <c r="A62" s="19" t="s">
        <v>127</v>
      </c>
      <c r="B62" s="18" t="str">
        <f>VLOOKUP($A62,Questions!$A$2:$X$333,2,0)</f>
        <v>Will you comply with applicable breach notification laws?</v>
      </c>
      <c r="C62" s="21" t="s">
        <v>26</v>
      </c>
      <c r="D62" s="313" t="s">
        <v>128</v>
      </c>
      <c r="E62" s="163" t="str">
        <f>IF($C62='Auto Responses'!$J$3,VLOOKUP($A62,Questions!$A$2:$X$333,17,0)&amp;"",IF($C62='Auto Responses'!$J$4,VLOOKUP($A62,Questions!$A$2:$X$333,16,0)&amp;"",VLOOKUP($A62,Questions!$A$2:$X$333,15,0)&amp;""))</f>
        <v>State how quickly the institution will be notified of a data breach or security incident.</v>
      </c>
      <c r="F62" s="197" t="str">
        <f>VLOOKUP($A62,'Institution Evaluation'!$A$56:$F$345,6,0)&amp;""</f>
        <v/>
      </c>
      <c r="I62" s="35"/>
      <c r="J62" s="35"/>
    </row>
    <row r="63" spans="1:10" s="1" customFormat="1" ht="310.5" x14ac:dyDescent="0.25">
      <c r="A63" s="19" t="s">
        <v>129</v>
      </c>
      <c r="B63" s="18" t="str">
        <f>VLOOKUP($A63,Questions!$A$2:$X$333,2,0)</f>
        <v>Do you have an information security awareness program?</v>
      </c>
      <c r="C63" s="21" t="s">
        <v>26</v>
      </c>
      <c r="D63" s="313" t="s">
        <v>130</v>
      </c>
      <c r="E63" s="163" t="str">
        <f>IF($C63='Auto Responses'!$J$3,VLOOKUP($A63,Questions!$A$2:$X$333,17,0)&amp;"",IF($C63='Auto Responses'!$J$4,VLOOKUP($A63,Questions!$A$2:$X$333,16,0)&amp;"",VLOOKUP($A63,Questions!$A$2:$X$333,15,0)&amp;""))</f>
        <v>Summarize your information security awareness program.</v>
      </c>
      <c r="F63" s="197" t="str">
        <f>VLOOKUP($A63,'Institution Evaluation'!$A$56:$F$345,6,0)&amp;""</f>
        <v/>
      </c>
      <c r="I63" s="35"/>
      <c r="J63" s="35"/>
    </row>
    <row r="64" spans="1:10" s="1" customFormat="1" ht="175.5" x14ac:dyDescent="0.25">
      <c r="A64" s="19" t="s">
        <v>131</v>
      </c>
      <c r="B64" s="18" t="str">
        <f>VLOOKUP($A64,Questions!$A$2:$X$333,2,0)</f>
        <v>Is security awareness training mandatory for all employees?</v>
      </c>
      <c r="C64" s="21" t="s">
        <v>26</v>
      </c>
      <c r="D64" s="313" t="s">
        <v>132</v>
      </c>
      <c r="E64" s="163" t="str">
        <f>IF($C64='Auto Responses'!$J$3,VLOOKUP($A64,Questions!$A$2:$X$333,17,0)&amp;"",IF($C64='Auto Responses'!$J$4,VLOOKUP($A64,Questions!$A$2:$X$333,16,0)&amp;"",VLOOKUP($A64,Questions!$A$2:$X$333,15,0)&amp;""))</f>
        <v>Summarize your security awareness training content and state how frequently employees are required to undergo security awareness training.</v>
      </c>
      <c r="F64" s="197" t="str">
        <f>VLOOKUP($A64,'Institution Evaluation'!$A$56:$F$345,6,0)&amp;""</f>
        <v/>
      </c>
      <c r="I64" s="35"/>
      <c r="J64" s="35"/>
    </row>
    <row r="65" spans="1:10" s="1" customFormat="1" ht="121.5" x14ac:dyDescent="0.25">
      <c r="A65" s="19" t="s">
        <v>133</v>
      </c>
      <c r="B65" s="18" t="str">
        <f>VLOOKUP($A65,Questions!$A$2:$X$333,2,0)</f>
        <v>Do you have process and procedure(s) documented, and currently followed, that require a review and update of the access list(s) for privileged accounts?</v>
      </c>
      <c r="C65" s="21" t="s">
        <v>26</v>
      </c>
      <c r="D65" s="313" t="s">
        <v>134</v>
      </c>
      <c r="E65" s="163" t="str">
        <f>IF($C65='Auto Responses'!$J$3,VLOOKUP($A65,Questions!$A$2:$X$333,17,0)&amp;"",IF($C65='Auto Responses'!$J$4,VLOOKUP($A65,Questions!$A$2:$X$333,16,0)&amp;"",VLOOKUP($A65,Questions!$A$2:$X$333,15,0)&amp;""))</f>
        <v>Provide a brief summary and the implement review interval.</v>
      </c>
      <c r="F65" s="197" t="str">
        <f>VLOOKUP($A65,'Institution Evaluation'!$A$56:$F$345,6,0)&amp;""</f>
        <v/>
      </c>
      <c r="I65" s="35"/>
      <c r="J65" s="35"/>
    </row>
    <row r="66" spans="1:10" s="1" customFormat="1" ht="175.5" x14ac:dyDescent="0.25">
      <c r="A66" s="19" t="s">
        <v>135</v>
      </c>
      <c r="B66" s="18" t="str">
        <f>VLOOKUP($A66,Questions!$A$2:$X$333,2,0)</f>
        <v>Do you have documented, and currently implemented, internal audit processes and procedures?</v>
      </c>
      <c r="C66" s="21" t="s">
        <v>26</v>
      </c>
      <c r="D66" s="313" t="s">
        <v>136</v>
      </c>
      <c r="E66" s="163" t="str">
        <f>IF($C66='Auto Responses'!$J$3,VLOOKUP($A66,Questions!$A$2:$X$333,17,0)&amp;"",IF($C66='Auto Responses'!$J$4,VLOOKUP($A66,Questions!$A$2:$X$333,16,0)&amp;"",VLOOKUP($A66,Questions!$A$2:$X$333,15,0)&amp;""))</f>
        <v>Summarize your internal audit processes and procedures.</v>
      </c>
      <c r="F66" s="197" t="str">
        <f>VLOOKUP($A66,'Institution Evaluation'!$A$56:$F$345,6,0)&amp;""</f>
        <v/>
      </c>
      <c r="I66" s="35"/>
      <c r="J66" s="35"/>
    </row>
    <row r="67" spans="1:10" s="1" customFormat="1" ht="229.5" x14ac:dyDescent="0.25">
      <c r="A67" s="19" t="s">
        <v>137</v>
      </c>
      <c r="B67" s="18" t="str">
        <f>VLOOKUP($A67,Questions!$A$2:$X$333,2,0)</f>
        <v>Does your organization have physical security controls and policies in place?</v>
      </c>
      <c r="C67" s="21" t="s">
        <v>26</v>
      </c>
      <c r="D67" s="313" t="s">
        <v>138</v>
      </c>
      <c r="E67" s="163" t="str">
        <f>IF($C67='Auto Responses'!$J$3,VLOOKUP($A67,Questions!$A$2:$X$333,17,0)&amp;"",IF($C67='Auto Responses'!$J$4,VLOOKUP($A67,Questions!$A$2:$X$333,16,0)&amp;"",IF($C67='Auto Responses'!$J$5,VLOOKUP($A67,Questions!$A$2:$X$333,18,0)&amp;"",VLOOKUP($A67,Questions!$A$2:$X$333,15,0)&amp;"")))</f>
        <v>Provide a copy of your physical security controls and policies along with this document (link or attached).</v>
      </c>
      <c r="F67" s="197" t="str">
        <f>VLOOKUP($A67,'Institution Evaluation'!$A$56:$F$345,6,0)&amp;""</f>
        <v/>
      </c>
      <c r="G67" s="234" t="s">
        <v>36</v>
      </c>
      <c r="H67" s="35"/>
    </row>
    <row r="68" spans="1:10" s="167" customFormat="1" ht="39" customHeight="1" x14ac:dyDescent="0.25">
      <c r="A68" s="263" t="s">
        <v>54</v>
      </c>
      <c r="B68" s="249"/>
      <c r="C68" s="250"/>
      <c r="D68" s="317"/>
      <c r="E68" s="252"/>
      <c r="F68" s="253"/>
      <c r="G68" s="254"/>
      <c r="H68" s="168"/>
    </row>
    <row r="69" spans="1:10" s="1" customFormat="1" ht="15" customHeight="1" x14ac:dyDescent="0.25">
      <c r="A69" s="262"/>
      <c r="C69" s="8"/>
      <c r="D69" s="9"/>
      <c r="E69" s="10"/>
      <c r="I69" s="35"/>
      <c r="J69" s="35"/>
    </row>
    <row r="70" spans="1:10" s="1" customFormat="1" ht="15" hidden="1" customHeight="1" x14ac:dyDescent="0.25">
      <c r="A70"/>
      <c r="C70" s="8"/>
      <c r="D70" s="9"/>
      <c r="E70" s="10"/>
      <c r="I70" s="35"/>
      <c r="J70" s="35"/>
    </row>
    <row r="71" spans="1:10" ht="57" hidden="1" customHeight="1" x14ac:dyDescent="0.25">
      <c r="A71" s="19" t="e">
        <f>#REF!</f>
        <v>#REF!</v>
      </c>
    </row>
    <row r="72" spans="1:10" ht="42.75" hidden="1" customHeight="1" x14ac:dyDescent="0.25">
      <c r="A72" s="19" t="e">
        <f>#REF!</f>
        <v>#REF!</v>
      </c>
    </row>
    <row r="73" spans="1:10" ht="15" hidden="1" customHeight="1" x14ac:dyDescent="0.25">
      <c r="A73" s="19" t="e">
        <f>#REF!</f>
        <v>#REF!</v>
      </c>
    </row>
    <row r="74" spans="1:10" ht="15" hidden="1" customHeight="1" x14ac:dyDescent="0.25">
      <c r="A74" s="19" t="e">
        <f>#REF!</f>
        <v>#REF!</v>
      </c>
    </row>
    <row r="75" spans="1:10" ht="15" hidden="1" customHeight="1" x14ac:dyDescent="0.25">
      <c r="A75" s="19" t="e">
        <f>#REF!</f>
        <v>#REF!</v>
      </c>
    </row>
    <row r="76" spans="1:10" ht="15" hidden="1" customHeight="1" x14ac:dyDescent="0.25">
      <c r="A76" s="19" t="e">
        <f>#REF!</f>
        <v>#REF!</v>
      </c>
    </row>
    <row r="77" spans="1:10" ht="15" hidden="1" customHeight="1" x14ac:dyDescent="0.25">
      <c r="A77" s="19" t="e">
        <f>#REF!</f>
        <v>#REF!</v>
      </c>
    </row>
    <row r="78" spans="1:10" ht="15" hidden="1" customHeight="1" x14ac:dyDescent="0.25"/>
    <row r="79" spans="1:10" ht="15" hidden="1" customHeight="1" x14ac:dyDescent="0.25"/>
    <row r="80" spans="1:1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sheetData>
  <phoneticPr fontId="30" type="noConversion"/>
  <dataValidations count="2">
    <dataValidation allowBlank="1" showInputMessage="1" showErrorMessage="1" promptTitle="Warning!" prompt="The HECVAT is built using a number of complex formulas. Editing this cell can break the functionality of the tool. " sqref="C2:F2 C52:D52 A3:A68 C21 D21:D29 C5:F12 D3:F3 B2:B68 C29 C35:D35 E21:F67" xr:uid="{13D91724-4745-4549-9EE6-E1961B3DF999}"/>
    <dataValidation allowBlank="1" showInputMessage="1" showErrorMessage="1" prompt="This answer has been populated from the &quot;START HERE&quot; tab and does not need to be re-entered." sqref="C3 C13:C20" xr:uid="{5903BFA5-5357-4C55-8B96-E1E288DBA5B1}"/>
  </dataValidations>
  <hyperlinks>
    <hyperlink ref="A11" r:id="rId1" display="http://www.educause.edu/HECVAT" xr:uid="{5A6938A9-739E-4A03-A861-C791D26D0356}"/>
    <hyperlink ref="D27" r:id="rId2" xr:uid="{BC6CD4D6-72AD-4432-A6D8-5065C463519E}"/>
  </hyperlinks>
  <pageMargins left="0.75" right="0.75" top="1" bottom="1" header="0.5" footer="0.5"/>
  <pageSetup orientation="landscape" r:id="rId3"/>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BB38F01-8950-47A1-A9D6-AA20F3133A43}">
          <x14:formula1>
            <xm:f>'Auto Responses'!$J$3:$J$4</xm:f>
          </x14:formula1>
          <xm:sqref>C68 C36 C34 C22:C28 C53:C66 C39:C43 C48:C51</xm:sqref>
        </x14:dataValidation>
        <x14:dataValidation type="list" allowBlank="1" showInputMessage="1" showErrorMessage="1" xr:uid="{12770314-EF29-47D1-BA99-D96AA2142FEA}">
          <x14:formula1>
            <xm:f>'Auto Responses'!$J$3:$J$5</xm:f>
          </x14:formula1>
          <xm:sqref>C30:C33 C37:C38 C67 C44:C47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9F7D6-4E37-409B-A8D9-E830FAA14D4D}">
  <sheetPr>
    <tabColor rgb="FF00636C"/>
  </sheetPr>
  <dimension ref="A1:L85"/>
  <sheetViews>
    <sheetView showGridLines="0" showZeros="0" topLeftCell="A63" zoomScale="166" zoomScaleNormal="50" workbookViewId="0">
      <selection activeCell="D26" sqref="D26"/>
    </sheetView>
  </sheetViews>
  <sheetFormatPr defaultColWidth="0" defaultRowHeight="0" customHeight="1" zeroHeight="1" x14ac:dyDescent="0.25"/>
  <cols>
    <col min="1" max="1" width="8.265625" customWidth="1"/>
    <col min="2" max="2" width="55.1328125" style="1" customWidth="1"/>
    <col min="3" max="3" width="18.86328125" style="8" customWidth="1"/>
    <col min="4" max="4" width="55.59765625" style="9" customWidth="1"/>
    <col min="5" max="5" width="32" style="10" customWidth="1"/>
    <col min="6" max="6" width="30.59765625" style="1" customWidth="1"/>
    <col min="7" max="7" width="18.1328125" style="1" customWidth="1"/>
    <col min="8" max="8" width="18.1328125" style="1" hidden="1" customWidth="1"/>
    <col min="9" max="10" width="18.1328125" style="35" hidden="1" customWidth="1"/>
    <col min="11" max="11" width="4.46484375" style="1" hidden="1" customWidth="1"/>
    <col min="12" max="12" width="6.59765625" style="1" hidden="1" customWidth="1"/>
    <col min="13" max="16384" width="6.59765625" hidden="1"/>
  </cols>
  <sheetData>
    <row r="1" spans="1:10" ht="0" hidden="1" customHeight="1" x14ac:dyDescent="0.25">
      <c r="A1" t="s">
        <v>0</v>
      </c>
    </row>
    <row r="2" spans="1:10" ht="36" customHeight="1" x14ac:dyDescent="0.25">
      <c r="A2" s="164" t="s">
        <v>139</v>
      </c>
      <c r="B2" s="164"/>
      <c r="C2" s="165"/>
      <c r="D2" s="304"/>
      <c r="E2" s="166"/>
      <c r="F2" s="166" t="str">
        <f>'Auto Responses'!$A$36</f>
        <v>Version 4.1.5</v>
      </c>
      <c r="J2" s="1"/>
    </row>
    <row r="3" spans="1:10" s="1" customFormat="1" ht="29.25" customHeight="1" x14ac:dyDescent="0.25">
      <c r="A3" s="37" t="s">
        <v>2</v>
      </c>
      <c r="B3" s="38"/>
      <c r="C3" s="66">
        <f>'START HERE'!$C$3</f>
        <v>46255</v>
      </c>
      <c r="D3" s="305"/>
      <c r="E3" s="36"/>
      <c r="F3" s="50"/>
      <c r="I3" s="35"/>
    </row>
    <row r="4" spans="1:10" s="1" customFormat="1" ht="36" customHeight="1" x14ac:dyDescent="0.25">
      <c r="A4" s="11" t="s">
        <v>3</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6"/>
      <c r="E5" s="16"/>
      <c r="F5" s="1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6"/>
      <c r="E6" s="16"/>
      <c r="F6" s="16"/>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6"/>
      <c r="E7" s="16"/>
      <c r="F7" s="16"/>
      <c r="I7" s="35"/>
    </row>
    <row r="8" spans="1:10" s="1" customFormat="1" ht="19.5" customHeight="1" x14ac:dyDescent="0.25">
      <c r="A8" s="42" t="str">
        <f>HLOOKUP($A$4,'Auto Responses'!$D$2:$D$8,5,0)&amp;""</f>
        <v>4. DO NOT complete any fields in the "Evaluation" sheets or the "Analyst Notes" column.</v>
      </c>
      <c r="B8" s="16"/>
      <c r="C8" s="67"/>
      <c r="D8" s="306"/>
      <c r="E8" s="16"/>
      <c r="F8" s="16"/>
      <c r="I8" s="35"/>
    </row>
    <row r="9" spans="1:10" s="1" customFormat="1" ht="19.5" customHeight="1" x14ac:dyDescent="0.25">
      <c r="A9" s="42" t="str">
        <f>HLOOKUP($A$4,'Auto Responses'!$D$2:$D$8,6,0)&amp;""</f>
        <v>5. Return the completed file to institutions.</v>
      </c>
      <c r="B9" s="16"/>
      <c r="C9" s="67"/>
      <c r="D9" s="306"/>
      <c r="E9" s="16"/>
      <c r="F9" s="16"/>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6"/>
      <c r="E10" s="16"/>
      <c r="F10" s="16"/>
      <c r="I10" s="35"/>
    </row>
    <row r="11" spans="1:10" s="1" customFormat="1" ht="19.5" customHeight="1" x14ac:dyDescent="0.25">
      <c r="A11" s="242" t="str">
        <f>HLOOKUP($A$4,'Auto Responses'!$D$2:$D$9,8,0)&amp;""</f>
        <v>For full instructions, please visit educause.edu/HECVAT</v>
      </c>
      <c r="B11" s="16"/>
      <c r="C11" s="67"/>
      <c r="D11" s="306"/>
      <c r="E11" s="16"/>
      <c r="F11" s="16"/>
      <c r="I11" s="35"/>
    </row>
    <row r="12" spans="1:10" s="1" customFormat="1" ht="36" customHeight="1" x14ac:dyDescent="0.25">
      <c r="A12" s="63" t="str">
        <f>VLOOKUP(LEFT($A13,4),'Auto Responses'!$N$4:$O$38,2,0)&amp;""</f>
        <v xml:space="preserve"> General Information</v>
      </c>
      <c r="B12" s="12"/>
      <c r="C12" s="13" t="s">
        <v>21</v>
      </c>
      <c r="D12" s="307"/>
      <c r="E12" s="17"/>
      <c r="F12" s="17"/>
      <c r="I12" s="35"/>
      <c r="J12" s="35"/>
    </row>
    <row r="13" spans="1:10" s="1" customFormat="1" ht="22.5" customHeight="1" x14ac:dyDescent="0.25">
      <c r="A13" s="19" t="s">
        <v>4</v>
      </c>
      <c r="B13" s="20" t="str">
        <f>VLOOKUP($A13,Questions!$A$2:$X$333,2,0)&amp;""</f>
        <v>Solution Provider Name</v>
      </c>
      <c r="C13" s="76" t="str">
        <f>VLOOKUP($A13,'START HERE'!$A$13:$C$21,3,0)&amp;""</f>
        <v>Preservica Inc</v>
      </c>
      <c r="D13" s="32"/>
      <c r="E13" s="32"/>
      <c r="F13" s="50"/>
      <c r="I13" s="35"/>
      <c r="J13" s="35"/>
    </row>
    <row r="14" spans="1:10" s="1" customFormat="1" ht="22.5" customHeight="1" x14ac:dyDescent="0.25">
      <c r="A14" s="19" t="s">
        <v>6</v>
      </c>
      <c r="B14" s="20" t="str">
        <f>VLOOKUP($A14,Questions!$A$2:$X$333,2,0)&amp;""</f>
        <v>Solution Name</v>
      </c>
      <c r="C14" s="76" t="str">
        <f>VLOOKUP($A14,'START HERE'!$A$13:$C$21,3,0)&amp;""</f>
        <v>Preservica Pro, Preservica Pro Plus, Preservica Enterprise, Preservica Enterprise Plus - v9.x</v>
      </c>
      <c r="D14" s="32"/>
      <c r="E14" s="32"/>
      <c r="F14" s="50"/>
      <c r="I14" s="35"/>
      <c r="J14" s="35"/>
    </row>
    <row r="15" spans="1:10" s="1" customFormat="1" ht="22.5" customHeight="1" x14ac:dyDescent="0.25">
      <c r="A15" s="19" t="s">
        <v>8</v>
      </c>
      <c r="B15" s="20" t="str">
        <f>VLOOKUP($A15,Questions!$A$2:$X$333,2,0)&amp;""</f>
        <v>Solution Description</v>
      </c>
      <c r="C15" s="76" t="str">
        <f>VLOOKUP($A15,'START HERE'!$A$13:$C$21,3,0)&amp;""</f>
        <v>Preservica combines all the core requirements for successful long-term active digital preservation – including public and secure access - into a single integrated application that can be quickly deployed and hosted in the cloud.</v>
      </c>
      <c r="D15" s="32"/>
      <c r="E15" s="32"/>
      <c r="F15" s="50"/>
      <c r="I15" s="35"/>
      <c r="J15" s="35"/>
    </row>
    <row r="16" spans="1:10" s="1" customFormat="1" ht="22.5" customHeight="1" thickBot="1" x14ac:dyDescent="0.3">
      <c r="A16" s="19" t="s">
        <v>17</v>
      </c>
      <c r="B16" s="20" t="str">
        <f>VLOOKUP($A16,Questions!$A$2:$X$333,2,0)&amp;""</f>
        <v>Country of Company Headquarters</v>
      </c>
      <c r="C16" s="76" t="str">
        <f>VLOOKUP($A16,'START HERE'!$A$13:$C$21,3,0)&amp;""</f>
        <v>UK</v>
      </c>
      <c r="D16" s="32"/>
      <c r="E16" s="32"/>
      <c r="F16" s="50"/>
      <c r="I16" s="35"/>
      <c r="J16" s="35"/>
    </row>
    <row r="17" spans="1:10" s="1" customFormat="1" ht="37.5" customHeight="1" thickBot="1" x14ac:dyDescent="0.3">
      <c r="A17" s="63" t="str">
        <f>VLOOKUP(LEFT($A18,4),'Auto Responses'!$N$4:$O$38,2,0)&amp;""</f>
        <v xml:space="preserve"> Required Questions</v>
      </c>
      <c r="B17" s="22"/>
      <c r="C17" s="13" t="s">
        <v>21</v>
      </c>
      <c r="D17" s="13"/>
      <c r="E17" s="31" t="s">
        <v>23</v>
      </c>
      <c r="F17" s="183" t="s">
        <v>24</v>
      </c>
      <c r="I17" s="35"/>
      <c r="J17" s="35"/>
    </row>
    <row r="18" spans="1:10" s="1" customFormat="1" ht="181.5" customHeight="1" thickBot="1" x14ac:dyDescent="0.3">
      <c r="A18" s="19" t="s">
        <v>37</v>
      </c>
      <c r="B18" s="18" t="str">
        <f>VLOOKUP($A18,Questions!$A$2:$X$333,2,0)</f>
        <v>Are you offering a cloud-based product?</v>
      </c>
      <c r="C18" s="72" t="str">
        <f>VLOOKUP($A18,'START HERE'!$A$23:$F$36,3,0)&amp;""</f>
        <v>Yes</v>
      </c>
      <c r="D18" s="308" t="str">
        <f>VLOOKUP($A18,'START HERE'!$A$23:$F$36,4,0)&amp;""</f>
        <v>Preservica is delivered as a cloud-based, commercial-off-the-shelf product under a Software as a Service model, hosted on third-party cloud infrastructure — Amazon Web Services or Microsoft Azure, depending on the institution's configuration. Preservica does not operate its own data centres. Professional Services are available in addition, to support institutions in adopting the product. The division of responsibilities between Preservica and the institution is set out in Preservica's Shared Responsibility Model, published at https://website-assets.preservica.com/production/resources/Shared-Responsibility-Model-Global-v1.1.pdf.</v>
      </c>
      <c r="E18" s="163" t="str">
        <f>IF($C18='Auto Responses'!$J$3,VLOOKUP($A18,Questions!$A$2:$X$333,17,0)&amp;"",IF($C18='Auto Responses'!$J$4,VLOOKUP($A18,Questions!$A$2:$X$333,16,0)&amp;"",VLOOKUP($A18,Questions!$A$2:$X$333,15,0)&amp;""))</f>
        <v>DO complete the Product and Infrastructure worksheets</v>
      </c>
      <c r="F18" s="197" t="str">
        <f>VLOOKUP($A18,'Institution Evaluation'!$A$56:$F$345,6,0)&amp;""</f>
        <v/>
      </c>
      <c r="G18" s="234" t="s">
        <v>36</v>
      </c>
      <c r="I18" s="35"/>
      <c r="J18" s="35"/>
    </row>
    <row r="19" spans="1:10" s="1" customFormat="1" ht="18" thickBot="1" x14ac:dyDescent="0.3">
      <c r="A19" s="63" t="str">
        <f>VLOOKUP(LEFT($A20,4),'Auto Responses'!$N$4:$O$38,2,0)&amp;""</f>
        <v xml:space="preserve"> Authentication, Authorization, and Account Management</v>
      </c>
      <c r="B19" s="22"/>
      <c r="C19" s="13" t="s">
        <v>21</v>
      </c>
      <c r="D19" s="13" t="s">
        <v>22</v>
      </c>
      <c r="E19" s="31" t="s">
        <v>23</v>
      </c>
      <c r="F19" s="183" t="s">
        <v>24</v>
      </c>
      <c r="I19" s="35"/>
      <c r="J19" s="35"/>
    </row>
    <row r="20" spans="1:10" s="1" customFormat="1" ht="182.25" customHeight="1" x14ac:dyDescent="0.25">
      <c r="A20" s="19" t="s">
        <v>140</v>
      </c>
      <c r="B20" s="18" t="str">
        <f>VLOOKUP($A20,Questions!$A$2:$X$333,2,0)</f>
        <v>Does your solution support single sign-on (SSO) protocols for user and administrator authentication?*</v>
      </c>
      <c r="C20" s="21" t="s">
        <v>26</v>
      </c>
      <c r="D20" s="309" t="s">
        <v>141</v>
      </c>
      <c r="E20" s="163" t="str">
        <f>IF($C$18='Auto Responses'!$J$4,'Auto Responses'!$A$3,IF($C20='Auto Responses'!$J$3,VLOOKUP($A20,Questions!$A$2:$X$333,17,0)&amp;"",IF($C20='Auto Responses'!$J$4,VLOOKUP($A20,Questions!$A$2:$X$333,16,0)&amp;"",VLOOKUP($A20,Questions!$A$2:$X$333,15,0)&amp;"")))</f>
        <v>Describe how strong authentication is enforced (e.g., complex passwords, multifactor tokens, certificates, biometrics, aging requirements, re-use policy).</v>
      </c>
      <c r="F20" s="197" t="str">
        <f>VLOOKUP($A20,'Institution Evaluation'!$A$56:$F$345,6,0)&amp;""</f>
        <v/>
      </c>
      <c r="I20" s="35"/>
      <c r="J20" s="35"/>
    </row>
    <row r="21" spans="1:10" s="1" customFormat="1" ht="199.5" customHeight="1" x14ac:dyDescent="0.25">
      <c r="A21" s="19" t="s">
        <v>142</v>
      </c>
      <c r="B21" s="18" t="str">
        <f>VLOOKUP($A21,Questions!$A$2:$X$333,2,0)</f>
        <v>For customers not using SSO, does your solution support local authentication protocols for user and administrator authentication?*</v>
      </c>
      <c r="C21" s="359" t="s">
        <v>26</v>
      </c>
      <c r="D21" s="360" t="s">
        <v>143</v>
      </c>
      <c r="E21" s="163" t="str">
        <f>IF($C$18='Auto Responses'!$J$4,'Auto Responses'!$A$3,IF($C21='Auto Responses'!$J$3,VLOOKUP($A21,Questions!$A$2:$X$333,17,0)&amp;"",IF($C21='Auto Responses'!$J$4,VLOOKUP($A21,Questions!$A$2:$X$333,16,0)&amp;"",VLOOKUP($A21,Questions!$A$2:$X$333,15,0)&amp;"")))</f>
        <v>Provide a detailed description of your local authentication mode practices.</v>
      </c>
      <c r="F21" s="197" t="str">
        <f>VLOOKUP($A21,'Institution Evaluation'!$A$56:$F$345,6,0)&amp;""</f>
        <v/>
      </c>
      <c r="I21" s="35"/>
      <c r="J21" s="35"/>
    </row>
    <row r="22" spans="1:10" s="1" customFormat="1" ht="94.5" x14ac:dyDescent="0.25">
      <c r="A22" s="19" t="s">
        <v>144</v>
      </c>
      <c r="B22" s="18" t="str">
        <f>VLOOKUP($A22,Questions!$A$2:$X$333,2,0)</f>
        <v>For customers not using SSO, can you enforce password/passphrase complexity requirements (provided by the institution)?*</v>
      </c>
      <c r="C22" s="359" t="s">
        <v>46</v>
      </c>
      <c r="D22" s="360" t="s">
        <v>145</v>
      </c>
      <c r="E22" s="163" t="str">
        <f>IF($C$18='Auto Responses'!$J$4,'Auto Responses'!$A$3,IF($C22='Auto Responses'!$J$3,VLOOKUP($A22,Questions!$A$2:$X$333,17,0)&amp;"",IF($C22='Auto Responses'!$J$4,VLOOKUP($A22,Questions!$A$2:$X$333,16,0)&amp;"",VLOOKUP($A22,Questions!$A$2:$X$333,15,0)&amp;"")))</f>
        <v>Describe plans to support password/passphrase complexity requirements.</v>
      </c>
      <c r="F22" s="197" t="str">
        <f>VLOOKUP($A22,'Institution Evaluation'!$A$56:$F$345,6,0)&amp;""</f>
        <v/>
      </c>
      <c r="I22" s="35"/>
      <c r="J22" s="35"/>
    </row>
    <row r="23" spans="1:10" s="1" customFormat="1" ht="54" x14ac:dyDescent="0.25">
      <c r="A23" s="19" t="s">
        <v>146</v>
      </c>
      <c r="B23" s="18" t="str">
        <f>VLOOKUP($A23,Questions!$A$2:$X$333,2,0)</f>
        <v>For customers not using SSO, does the system have password complexity or length limitations and/or restrictions?*</v>
      </c>
      <c r="C23" s="359" t="s">
        <v>26</v>
      </c>
      <c r="D23" s="360" t="s">
        <v>147</v>
      </c>
      <c r="E23" s="163" t="str">
        <f>IF($C$18='Auto Responses'!$J$4,'Auto Responses'!$A$3,IF($C23='Auto Responses'!$J$3,VLOOKUP($A23,Questions!$A$2:$X$333,17,0)&amp;"",IF($C23='Auto Responses'!$J$4,VLOOKUP($A23,Questions!$A$2:$X$333,16,0)&amp;"",VLOOKUP($A23,Questions!$A$2:$X$333,15,0)&amp;"")))</f>
        <v>Describe these limitations and/or restrictions and state what lengths and complexities are supported.</v>
      </c>
      <c r="F23" s="197" t="str">
        <f>VLOOKUP($A23,'Institution Evaluation'!$A$56:$F$345,6,0)&amp;""</f>
        <v/>
      </c>
      <c r="I23" s="35"/>
      <c r="J23" s="35"/>
    </row>
    <row r="24" spans="1:10" s="1" customFormat="1" ht="121.5" x14ac:dyDescent="0.25">
      <c r="A24" s="19" t="s">
        <v>148</v>
      </c>
      <c r="B24" s="18" t="str">
        <f>VLOOKUP($A24,Questions!$A$2:$X$333,2,0)</f>
        <v>For customers not using SSO, do you have documented password/passphrase reset procedures that are currently implemented in the system and/or customer support?*</v>
      </c>
      <c r="C24" s="359" t="s">
        <v>26</v>
      </c>
      <c r="D24" s="360" t="s">
        <v>149</v>
      </c>
      <c r="E24" s="163" t="str">
        <f>IF($C$18='Auto Responses'!$J$4,'Auto Responses'!$A$3,IF($C24='Auto Responses'!$J$3,VLOOKUP($A24,Questions!$A$2:$X$333,17,0)&amp;"",IF($C24='Auto Responses'!$J$4,VLOOKUP($A24,Questions!$A$2:$X$333,16,0)&amp;"",VLOOKUP($A24,Questions!$A$2:$X$333,15,0)&amp;"")))</f>
        <v>Describe your documented password/passphrase reset procedures that are currently implemented in the system and/or customer support.</v>
      </c>
      <c r="F24" s="197" t="str">
        <f>VLOOKUP($A24,'Institution Evaluation'!$A$56:$F$345,6,0)&amp;""</f>
        <v/>
      </c>
      <c r="H24" s="168"/>
      <c r="I24" s="35"/>
      <c r="J24" s="35"/>
    </row>
    <row r="25" spans="1:10" s="1" customFormat="1" ht="40.5" x14ac:dyDescent="0.25">
      <c r="A25" s="19" t="s">
        <v>150</v>
      </c>
      <c r="B25" s="18" t="str">
        <f>VLOOKUP($A25,Questions!$A$2:$X$333,2,0)</f>
        <v>Does your organization participate in InCommon or another eduGAIN-affiliated trust federation?*</v>
      </c>
      <c r="C25" s="21" t="s">
        <v>46</v>
      </c>
      <c r="D25" s="309" t="s">
        <v>151</v>
      </c>
      <c r="E25" s="163" t="str">
        <f>IF($C$18='Auto Responses'!$J$4,'Auto Responses'!$A$3,IF($C25='Auto Responses'!$J$3,VLOOKUP($A25,Questions!$A$2:$X$333,17,0)&amp;"",IF($C25='Auto Responses'!$J$4,VLOOKUP($A25,Questions!$A$2:$X$333,16,0)&amp;"",VLOOKUP($A25,Questions!$A$2:$X$333,15,0)&amp;"")))</f>
        <v>Describe plans to participate in InCommon or another eduGAIN-affiliated trust federation.</v>
      </c>
      <c r="F25" s="197" t="str">
        <f>VLOOKUP($A25,'Institution Evaluation'!$A$56:$F$345,6,0)&amp;""</f>
        <v/>
      </c>
      <c r="I25" s="35"/>
      <c r="J25" s="35"/>
    </row>
    <row r="26" spans="1:10" s="1" customFormat="1" ht="91.5" customHeight="1" x14ac:dyDescent="0.25">
      <c r="A26" s="19" t="s">
        <v>152</v>
      </c>
      <c r="B26" s="18" t="str">
        <f>VLOOKUP($A26,Questions!$A$2:$X$333,2,0)</f>
        <v>Are there any passwords/passphrases hard-coded into your systems or solutions?*</v>
      </c>
      <c r="C26" s="21" t="s">
        <v>46</v>
      </c>
      <c r="D26" s="309" t="s">
        <v>153</v>
      </c>
      <c r="E26" s="163" t="str">
        <f>IF($C$18='Auto Responses'!$J$4,'Auto Responses'!$A$3,IF($C26='Auto Responses'!$J$3,VLOOKUP($A26,Questions!$A$2:$X$333,17,0)&amp;"",IF($C26='Auto Responses'!$J$4,VLOOKUP($A26,Questions!$A$2:$X$333,16,0)&amp;"",VLOOKUP($A26,Questions!$A$2:$X$333,15,0)&amp;"")))</f>
        <v/>
      </c>
      <c r="F26" s="197" t="str">
        <f>VLOOKUP($A26,'Institution Evaluation'!$A$56:$F$345,6,0)&amp;""</f>
        <v/>
      </c>
      <c r="I26" s="35"/>
      <c r="J26" s="35"/>
    </row>
    <row r="27" spans="1:10" s="1" customFormat="1" ht="38.25" customHeight="1" x14ac:dyDescent="0.25">
      <c r="A27" s="19" t="s">
        <v>154</v>
      </c>
      <c r="B27" s="18" t="str">
        <f>VLOOKUP($A27,Questions!$A$2:$X$333,2,0)</f>
        <v>Are you storing any passwords in plaintext?*</v>
      </c>
      <c r="C27" s="21" t="s">
        <v>46</v>
      </c>
      <c r="D27" s="309"/>
      <c r="E27" s="163" t="str">
        <f>IF($C$18='Auto Responses'!$J$4,'Auto Responses'!$A$3,IF($C27='Auto Responses'!$J$3,VLOOKUP($A27,Questions!$A$2:$X$333,17,0)&amp;"",IF($C27='Auto Responses'!$J$4,VLOOKUP($A27,Questions!$A$2:$X$333,16,0)&amp;"",VLOOKUP($A27,Questions!$A$2:$X$333,15,0)&amp;"")))</f>
        <v/>
      </c>
      <c r="F27" s="197" t="str">
        <f>VLOOKUP($A27,'Institution Evaluation'!$A$56:$F$345,6,0)&amp;""</f>
        <v/>
      </c>
      <c r="I27" s="35"/>
      <c r="J27" s="35"/>
    </row>
    <row r="28" spans="1:10" s="1" customFormat="1" ht="248.25" customHeight="1" x14ac:dyDescent="0.25">
      <c r="A28" s="19" t="s">
        <v>155</v>
      </c>
      <c r="B28" s="18" t="str">
        <f>VLOOKUP($A28,Questions!$A$2:$X$333,2,0)</f>
        <v>Are audit logs available that include AT LEAST all of the following: login, logout, actions performed, and source IP address?*</v>
      </c>
      <c r="C28" s="21" t="s">
        <v>46</v>
      </c>
      <c r="D28" s="309" t="s">
        <v>156</v>
      </c>
      <c r="E28" s="163" t="str">
        <f>IF($C$18='Auto Responses'!$J$4,'Auto Responses'!$A$3,IF($C28='Auto Responses'!$J$3,VLOOKUP($A28,Questions!$A$2:$X$333,17,0)&amp;"",IF($C28='Auto Responses'!$J$4,VLOOKUP($A28,Questions!$A$2:$X$333,16,0)&amp;"",VLOOKUP($A28,Questions!$A$2:$X$333,15,0)&amp;"")))</f>
        <v>Describe any plans to enable audit logs for these data elements.</v>
      </c>
      <c r="F28" s="197" t="str">
        <f>VLOOKUP($A28,'Institution Evaluation'!$A$56:$F$345,6,0)&amp;""</f>
        <v/>
      </c>
      <c r="I28" s="35"/>
      <c r="J28" s="35"/>
    </row>
    <row r="29" spans="1:10" s="1" customFormat="1" ht="256.5" x14ac:dyDescent="0.25">
      <c r="A29" s="19" t="s">
        <v>157</v>
      </c>
      <c r="B29" s="18" t="str">
        <f>VLOOKUP($A29,Questions!$A$2:$X$333,2,0)</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29" s="21"/>
      <c r="D29" s="309" t="s">
        <v>158</v>
      </c>
      <c r="E29" s="163" t="str">
        <f>IF($C$18='Auto Responses'!$J$4,'Auto Responses'!$A$3,IF($C29='Auto Responses'!$J$3,VLOOKUP($A29,Questions!$A$2:$X$333,17,0)&amp;"",IF($C29='Auto Responses'!$J$4,VLOOKUP($A29,Questions!$A$2:$X$333,16,0)&amp;"",VLOOKUP($A29,Questions!$A$2:$X$333,15,0)&amp;"")))</f>
        <v>Ensure that all elements of AAAI-10 are clearly stated in your response.</v>
      </c>
      <c r="F29" s="197" t="str">
        <f>VLOOKUP($A29,'Institution Evaluation'!$A$56:$F$345,6,0)&amp;""</f>
        <v/>
      </c>
      <c r="I29" s="35"/>
      <c r="J29" s="35"/>
    </row>
    <row r="30" spans="1:10" s="1" customFormat="1" ht="175.5" x14ac:dyDescent="0.25">
      <c r="A30" s="19" t="s">
        <v>159</v>
      </c>
      <c r="B30" s="18" t="str">
        <f>VLOOKUP($A30,Questions!$A$2:$X$333,2,0)</f>
        <v>Can you provide the institution documentation regarding the retention period for those logs, how logs are protected, and whether they are accessible to the customer (and if so, how)?*</v>
      </c>
      <c r="C30" s="21" t="s">
        <v>26</v>
      </c>
      <c r="D30" s="309" t="s">
        <v>160</v>
      </c>
      <c r="E30" s="163" t="str">
        <f>IF($C$18='Auto Responses'!$J$4,'Auto Responses'!$A$3,IF($C30='Auto Responses'!$J$3,VLOOKUP($A30,Questions!$A$2:$X$333,17,0)&amp;"",IF($C30='Auto Responses'!$J$4,VLOOKUP($A30,Questions!$A$2:$X$333,16,0)&amp;"",VLOOKUP($A30,Questions!$A$2:$X$333,15,0)&amp;"")))</f>
        <v>Ensure that all elements of AAAI-11 are clearly stated in your response.</v>
      </c>
      <c r="F30" s="197" t="str">
        <f>VLOOKUP($A30,'Institution Evaluation'!$A$56:$F$345,6,0)&amp;""</f>
        <v/>
      </c>
      <c r="I30" s="35"/>
      <c r="J30" s="35"/>
    </row>
    <row r="31" spans="1:10" s="1" customFormat="1" ht="135" x14ac:dyDescent="0.25">
      <c r="A31" s="19" t="s">
        <v>161</v>
      </c>
      <c r="B31" s="18" t="str">
        <f>VLOOKUP($A31,Questions!$A$2:$X$333,2,0)</f>
        <v>For customers not using SSO, does your application support integration with other authentication and authorization systems?</v>
      </c>
      <c r="C31" s="359" t="s">
        <v>46</v>
      </c>
      <c r="D31" s="360" t="s">
        <v>162</v>
      </c>
      <c r="E31" s="163" t="str">
        <f>IF($C$18='Auto Responses'!$J$4,'Auto Responses'!$A$3,IF($C31='Auto Responses'!$J$3,VLOOKUP($A31,Questions!$A$2:$X$333,17,0)&amp;"",IF($C31='Auto Responses'!$J$4,VLOOKUP($A31,Questions!$A$2:$X$333,16,0)&amp;"",VLOOKUP($A31,Questions!$A$2:$X$333,15,0)&amp;"")))</f>
        <v>Describe any plans to support integration with other authentication and authorization systems.</v>
      </c>
      <c r="F31" s="197" t="str">
        <f>VLOOKUP($A31,'Institution Evaluation'!$A$56:$F$345,6,0)&amp;""</f>
        <v/>
      </c>
      <c r="I31" s="35"/>
      <c r="J31" s="35"/>
    </row>
    <row r="32" spans="1:10" s="1" customFormat="1" ht="40.5" x14ac:dyDescent="0.25">
      <c r="A32" s="19" t="s">
        <v>163</v>
      </c>
      <c r="B32" s="18" t="str">
        <f>VLOOKUP($A32,Questions!$A$2:$X$333,2,0)</f>
        <v>Do you allow the customer to specify attribute mappings for any needed information beyond a user identifier? (e.g., Reference eduPerson, ePPA/ePPN/ePE)</v>
      </c>
      <c r="C32" s="21" t="s">
        <v>46</v>
      </c>
      <c r="D32" s="309" t="s">
        <v>151</v>
      </c>
      <c r="E32" s="163" t="str">
        <f>IF($C$18='Auto Responses'!$J$4,'Auto Responses'!$A$3,IF($C32='Auto Responses'!$J$3,VLOOKUP($A32,Questions!$A$2:$X$333,17,0)&amp;"",IF($C32='Auto Responses'!$J$4,VLOOKUP($A32,Questions!$A$2:$X$333,16,0)&amp;"",VLOOKUP($A32,Questions!$A$2:$X$333,15,0)&amp;"")))</f>
        <v>Describe plans to allow customers to specify attribute mappings.</v>
      </c>
      <c r="F32" s="197" t="str">
        <f>VLOOKUP($A32,'Institution Evaluation'!$A$56:$F$345,6,0)&amp;""</f>
        <v/>
      </c>
      <c r="I32" s="35"/>
      <c r="J32" s="35"/>
    </row>
    <row r="33" spans="1:10" s="1" customFormat="1" ht="40.5" x14ac:dyDescent="0.25">
      <c r="A33" s="19" t="s">
        <v>164</v>
      </c>
      <c r="B33" s="18" t="str">
        <f>VLOOKUP($A33,Questions!$A$2:$X$333,2,0)</f>
        <v>For customers not using SSO, does your application support directory integration for user accounts?</v>
      </c>
      <c r="C33" s="359" t="s">
        <v>46</v>
      </c>
      <c r="D33" s="361" t="s">
        <v>165</v>
      </c>
      <c r="E33" s="163" t="str">
        <f>IF($C$18='Auto Responses'!$J$4,'Auto Responses'!$A$3,IF($C33='Auto Responses'!$J$3,VLOOKUP($A33,Questions!$A$2:$X$333,17,0)&amp;"",IF($C33='Auto Responses'!$J$4,VLOOKUP($A33,Questions!$A$2:$X$333,16,0)&amp;"",VLOOKUP($A33,Questions!$A$2:$X$333,15,0)&amp;"")))</f>
        <v>Describe any plans to support external authentication services in place of local authentication.</v>
      </c>
      <c r="F33" s="197" t="str">
        <f>VLOOKUP($A33,'Institution Evaluation'!$A$56:$F$345,6,0)&amp;""</f>
        <v/>
      </c>
      <c r="I33" s="35"/>
      <c r="J33" s="35"/>
    </row>
    <row r="34" spans="1:10" s="1" customFormat="1" ht="81" x14ac:dyDescent="0.25">
      <c r="A34" s="19" t="s">
        <v>166</v>
      </c>
      <c r="B34" s="18" t="str">
        <f>VLOOKUP($A34,Questions!$A$2:$X$333,2,0)</f>
        <v>Does your solution support any of the following web SSO standards: SAML2 (with redirect flow), OIDC, CAS, or other?</v>
      </c>
      <c r="C34" s="21" t="s">
        <v>26</v>
      </c>
      <c r="D34" s="309" t="s">
        <v>167</v>
      </c>
      <c r="E34" s="163" t="str">
        <f>IF($C$18='Auto Responses'!$J$4,'Auto Responses'!$A$3,IF($C34='Auto Responses'!$J$3,VLOOKUP($A34,Questions!$A$2:$X$333,17,0)&amp;"",IF($C34='Auto Responses'!$J$4,VLOOKUP($A34,Questions!$A$2:$X$333,16,0)&amp;"",VLOOKUP($A34,Questions!$A$2:$X$333,15,0)&amp;"")))</f>
        <v>State the web SSO standards supported by your solution and provide additional details about your support, including framework(s) in use, how information is exchanged securely, etc.</v>
      </c>
      <c r="F34" s="197" t="str">
        <f>VLOOKUP($A34,'Institution Evaluation'!$A$56:$F$345,6,0)&amp;""</f>
        <v/>
      </c>
      <c r="I34" s="35"/>
      <c r="J34" s="35"/>
    </row>
    <row r="35" spans="1:10" s="1" customFormat="1" ht="42" customHeight="1" x14ac:dyDescent="0.25">
      <c r="A35" s="19" t="s">
        <v>168</v>
      </c>
      <c r="B35" s="18" t="str">
        <f>VLOOKUP($A35,Questions!$A$2:$X$333,2,0)</f>
        <v>Do you support differentiation between email address and user identifier?</v>
      </c>
      <c r="C35" s="21" t="s">
        <v>46</v>
      </c>
      <c r="D35" s="309" t="s">
        <v>151</v>
      </c>
      <c r="E35" s="163" t="str">
        <f>IF($C$18='Auto Responses'!$J$4,'Auto Responses'!$A$3,IF($C35='Auto Responses'!$J$3,VLOOKUP($A35,Questions!$A$2:$X$333,17,0)&amp;"",IF($C35='Auto Responses'!$J$4,VLOOKUP($A35,Questions!$A$2:$X$333,16,0)&amp;"",VLOOKUP($A35,Questions!$A$2:$X$333,15,0)&amp;"")))</f>
        <v>Describe any plans to support differentiation between email address and user identifier.</v>
      </c>
      <c r="F35" s="197" t="str">
        <f>VLOOKUP($A35,'Institution Evaluation'!$A$56:$F$345,6,0)&amp;""</f>
        <v/>
      </c>
      <c r="I35" s="35"/>
      <c r="J35" s="35"/>
    </row>
    <row r="36" spans="1:10" s="1" customFormat="1" ht="94.5" x14ac:dyDescent="0.25">
      <c r="A36" s="19" t="s">
        <v>169</v>
      </c>
      <c r="B36" s="18" t="str">
        <f>VLOOKUP($A36,Questions!$A$2:$X$333,2,0)</f>
        <v>For customers not using SSO, does your application and/or user frontend/portal support multifactor authentication (e.g., Duo, Google Authenticator, OTP, etc.)?</v>
      </c>
      <c r="C36" s="21" t="s">
        <v>26</v>
      </c>
      <c r="D36" s="309" t="s">
        <v>170</v>
      </c>
      <c r="E36" s="163" t="str">
        <f>IF($C$18='Auto Responses'!$J$4,'Auto Responses'!$A$3,IF($C$20='Auto Responses'!$J$4,'Auto Responses'!$A$28,IF($C36='Auto Responses'!$J$3,VLOOKUP($A36,Questions!$A$2:$X$333,17,0)&amp;"",IF($C36='Auto Responses'!$J$4,VLOOKUP($A36,Questions!$A$2:$X$333,16,0)&amp;"",VLOOKUP($A36,Questions!$A$2:$X$333,15,0)&amp;""))))</f>
        <v>List all supported multifactor authentication methods, technologies, and/or solutions and provide a brief summary of each.</v>
      </c>
      <c r="F36" s="197" t="str">
        <f>VLOOKUP($A36,'Institution Evaluation'!$A$56:$F$345,6,0)&amp;""</f>
        <v/>
      </c>
      <c r="I36" s="35"/>
      <c r="J36" s="35"/>
    </row>
    <row r="37" spans="1:10" s="1" customFormat="1" ht="27.5" thickBot="1" x14ac:dyDescent="0.3">
      <c r="A37" s="19" t="s">
        <v>171</v>
      </c>
      <c r="B37" s="18" t="str">
        <f>VLOOKUP($A37,Questions!$A$2:$X$333,2,0)</f>
        <v>Does your application automatically lock the session or log out an account after a period of inactivity?</v>
      </c>
      <c r="C37" s="21" t="s">
        <v>26</v>
      </c>
      <c r="D37" s="360" t="s">
        <v>172</v>
      </c>
      <c r="E37" s="163" t="str">
        <f>IF($C$18='Auto Responses'!$J$4,'Auto Responses'!$A$3,IF($C37='Auto Responses'!$J$3,VLOOKUP($A37,Questions!$A$2:$X$333,17,0)&amp;"",IF($C37='Auto Responses'!$J$4,VLOOKUP($A37,Questions!$A$2:$X$333,16,0)&amp;"",VLOOKUP($A37,Questions!$A$2:$X$333,15,0)&amp;"")))</f>
        <v>Describe the default behavior of this capability.</v>
      </c>
      <c r="F37" s="197" t="str">
        <f>VLOOKUP($A37,'Institution Evaluation'!$A$56:$F$345,6,0)&amp;""</f>
        <v/>
      </c>
      <c r="G37" s="234" t="s">
        <v>36</v>
      </c>
      <c r="I37" s="35"/>
      <c r="J37" s="35"/>
    </row>
    <row r="38" spans="1:10" s="1" customFormat="1" ht="37.5" customHeight="1" thickBot="1" x14ac:dyDescent="0.3">
      <c r="A38" s="63" t="str">
        <f>VLOOKUP(LEFT($A39,4),'Auto Responses'!$N$4:$O$38,2,0)&amp;""</f>
        <v xml:space="preserve"> Data</v>
      </c>
      <c r="B38" s="22"/>
      <c r="C38" s="13" t="s">
        <v>21</v>
      </c>
      <c r="D38" s="13" t="s">
        <v>22</v>
      </c>
      <c r="E38" s="31" t="s">
        <v>23</v>
      </c>
      <c r="F38" s="183" t="s">
        <v>24</v>
      </c>
      <c r="I38" s="35"/>
      <c r="J38" s="35"/>
    </row>
    <row r="39" spans="1:10" s="1" customFormat="1" ht="191.25" customHeight="1" x14ac:dyDescent="0.25">
      <c r="A39" s="19" t="s">
        <v>173</v>
      </c>
      <c r="B39" s="18" t="str">
        <f>VLOOKUP($A39,Questions!$A$2:$X$333,2,0)</f>
        <v>Will the institution's data be stored on any devices (database servers, file servers, SAN, NAS, etc.) configured with non-RFC 1918/4193 (i.e., publicly routable) IP addresses?*</v>
      </c>
      <c r="C39" s="21" t="s">
        <v>46</v>
      </c>
      <c r="D39" s="309" t="s">
        <v>174</v>
      </c>
      <c r="E39" s="163" t="str">
        <f>IF($C$18='Auto Responses'!$J$4,'Auto Responses'!$A$3,IF($C39='Auto Responses'!$J$3,VLOOKUP($A39,Questions!$A$2:$X$333,17,0)&amp;"",IF($C39='Auto Responses'!$J$4,VLOOKUP($A39,Questions!$A$2:$X$333,16,0)&amp;"",VLOOKUP($A39,Questions!$A$2:$X$333,15,0)&amp;"")))</f>
        <v/>
      </c>
      <c r="F39" s="197" t="str">
        <f>VLOOKUP($A39,'Institution Evaluation'!$A$56:$F$345,6,0)&amp;""</f>
        <v/>
      </c>
      <c r="I39" s="35"/>
      <c r="J39" s="35"/>
    </row>
    <row r="40" spans="1:10" s="1" customFormat="1" ht="108" x14ac:dyDescent="0.25">
      <c r="A40" s="19" t="s">
        <v>175</v>
      </c>
      <c r="B40" s="18" t="str">
        <f>VLOOKUP($A40,Questions!$A$2:$X$333,2,0)</f>
        <v>Is the transport of sensitive data encrypted using security protocols/algorithms (e.g., system-to-client)?*</v>
      </c>
      <c r="C40" s="21" t="s">
        <v>26</v>
      </c>
      <c r="D40" s="309" t="s">
        <v>176</v>
      </c>
      <c r="E40" s="163" t="str">
        <f>IF($C$18='Auto Responses'!$J$4,'Auto Responses'!$A$3,IF($C40='Auto Responses'!$J$3,VLOOKUP($A40,Questions!$A$2:$X$333,17,0)&amp;"",IF($C40='Auto Responses'!$J$4,VLOOKUP($A40,Questions!$A$2:$X$333,16,0)&amp;"",VLOOKUP($A40,Questions!$A$2:$X$333,15,0)&amp;"")))</f>
        <v>Summarize your transport encryption strategy.</v>
      </c>
      <c r="F40" s="197" t="str">
        <f>VLOOKUP($A40,'Institution Evaluation'!$A$56:$F$345,6,0)&amp;""</f>
        <v/>
      </c>
      <c r="I40" s="35"/>
      <c r="J40" s="35"/>
    </row>
    <row r="41" spans="1:10" s="1" customFormat="1" ht="67.5" x14ac:dyDescent="0.25">
      <c r="A41" s="19" t="s">
        <v>177</v>
      </c>
      <c r="B41" s="18" t="str">
        <f>VLOOKUP($A41,Questions!$A$2:$X$333,2,0)</f>
        <v>Is the storage of sensitive data encrypted using security protocols/algorithms (e.g., disk encryption, at-rest, files, and within a running database)?*</v>
      </c>
      <c r="C41" s="21" t="s">
        <v>26</v>
      </c>
      <c r="D41" s="309" t="s">
        <v>178</v>
      </c>
      <c r="E41" s="163" t="str">
        <f>IF($C$18='Auto Responses'!$J$4,'Auto Responses'!$A$3,IF($C41='Auto Responses'!$J$3,VLOOKUP($A41,Questions!$A$2:$X$333,17,0)&amp;"",IF($C41='Auto Responses'!$J$4,VLOOKUP($A41,Questions!$A$2:$X$333,16,0)&amp;"",VLOOKUP($A41,Questions!$A$2:$X$333,15,0)&amp;"")))</f>
        <v>Summarize your data encryption strategy and state what encryption options are available.</v>
      </c>
      <c r="F41" s="197" t="str">
        <f>VLOOKUP($A41,'Institution Evaluation'!$A$56:$F$345,6,0)&amp;""</f>
        <v/>
      </c>
      <c r="I41" s="35"/>
      <c r="J41" s="35"/>
    </row>
    <row r="42" spans="1:10" s="1" customFormat="1" ht="40.5" x14ac:dyDescent="0.25">
      <c r="A42" s="19" t="s">
        <v>179</v>
      </c>
      <c r="B42" s="18" t="str">
        <f>VLOOKUP($A42,Questions!$A$2:$X$333,2,0)</f>
        <v>Do all cryptographic modules in use in your solution conform to the Federal Information Processing Standards (FIPS PUB 140-2 or 140-3)?*</v>
      </c>
      <c r="C42" s="21" t="s">
        <v>46</v>
      </c>
      <c r="D42" s="309" t="s">
        <v>180</v>
      </c>
      <c r="E42" s="163" t="str">
        <f>IF($C$18='Auto Responses'!$J$4,'Auto Responses'!$A$3,IF($C42='Auto Responses'!$J$3,VLOOKUP($A42,Questions!$A$2:$X$333,17,0)&amp;"",IF($C42='Auto Responses'!$J$4,VLOOKUP($A42,Questions!$A$2:$X$333,16,0)&amp;"",VLOOKUP($A42,Questions!$A$2:$X$333,15,0)&amp;"")))</f>
        <v>Provide a detailed description of all non-conforming modules.</v>
      </c>
      <c r="F42" s="197" t="str">
        <f>VLOOKUP($A42,'Institution Evaluation'!$A$56:$F$345,6,0)&amp;""</f>
        <v/>
      </c>
      <c r="I42" s="35"/>
      <c r="J42" s="35"/>
    </row>
    <row r="43" spans="1:10" s="1" customFormat="1" ht="108" x14ac:dyDescent="0.25">
      <c r="A43" s="19" t="s">
        <v>181</v>
      </c>
      <c r="B43" s="18" t="str">
        <f>VLOOKUP($A43,Questions!$A$2:$X$333,2,0)</f>
        <v>Will the institution's data be available within the system for a period of time at the completion of this contract?*</v>
      </c>
      <c r="C43" s="21" t="s">
        <v>26</v>
      </c>
      <c r="D43" s="309" t="s">
        <v>182</v>
      </c>
      <c r="E43" s="163" t="str">
        <f>IF($C$18='Auto Responses'!$J$4,'Auto Responses'!$A$3,IF($C43='Auto Responses'!$J$3,VLOOKUP($A43,Questions!$A$2:$X$333,17,0)&amp;"",IF($C43='Auto Responses'!$J$4,VLOOKUP($A43,Questions!$A$2:$X$333,16,0)&amp;"",VLOOKUP($A43,Questions!$A$2:$X$333,15,0)&amp;"")))</f>
        <v>State the length of time that the institution's data will be available in the system at the completion of the contract.</v>
      </c>
      <c r="F43" s="197" t="str">
        <f>VLOOKUP($A43,'Institution Evaluation'!$A$56:$F$345,6,0)&amp;""</f>
        <v/>
      </c>
      <c r="I43" s="35"/>
      <c r="J43" s="35"/>
    </row>
    <row r="44" spans="1:10" s="1" customFormat="1" ht="256.5" customHeight="1" x14ac:dyDescent="0.25">
      <c r="A44" s="19" t="s">
        <v>183</v>
      </c>
      <c r="B44" s="18" t="str">
        <f>VLOOKUP($A44,Questions!$A$2:$X$333,2,0)</f>
        <v>Are ownership rights to all data, inputs, outputs, and metadata retained even through a provider acquisition or bankruptcy event?*</v>
      </c>
      <c r="C44" s="21" t="s">
        <v>26</v>
      </c>
      <c r="D44" s="309" t="s">
        <v>184</v>
      </c>
      <c r="E44" s="163" t="str">
        <f>IF($C$18='Auto Responses'!$J$4,'Auto Responses'!$A$3,IF($C44='Auto Responses'!$J$3,VLOOKUP($A44,Questions!$A$2:$X$333,17,0)&amp;"",IF($C44='Auto Responses'!$J$4,VLOOKUP($A44,Questions!$A$2:$X$333,16,0)&amp;"",VLOOKUP($A44,Questions!$A$2:$X$333,15,0)&amp;"")))</f>
        <v>Provide references, as needed.</v>
      </c>
      <c r="F44" s="197" t="str">
        <f>VLOOKUP($A44,'Institution Evaluation'!$A$56:$F$345,6,0)&amp;""</f>
        <v/>
      </c>
      <c r="I44" s="35"/>
      <c r="J44" s="35"/>
    </row>
    <row r="45" spans="1:10" s="1" customFormat="1" ht="121.5" x14ac:dyDescent="0.25">
      <c r="A45" s="19" t="s">
        <v>185</v>
      </c>
      <c r="B45" s="18" t="str">
        <f>VLOOKUP($A45,Questions!$A$2:$X$333,2,0)</f>
        <v>Do backups containing the institution's data ever leave the institution's data zone either physically or via network routing?*</v>
      </c>
      <c r="C45" s="21" t="s">
        <v>46</v>
      </c>
      <c r="D45" s="309" t="s">
        <v>186</v>
      </c>
      <c r="E45" s="163" t="str">
        <f>IF($C$18='Auto Responses'!$J$4,'Auto Responses'!$A$3,IF($C45='Auto Responses'!$J$3,VLOOKUP($A45,Questions!$A$2:$X$333,17,0)&amp;"",IF($C45='Auto Responses'!$J$4,VLOOKUP($A45,Questions!$A$2:$X$333,16,0)&amp;"",VLOOKUP($A45,Questions!$A$2:$X$333,15,0)&amp;"")))</f>
        <v/>
      </c>
      <c r="F45" s="197" t="str">
        <f>VLOOKUP($A45,'Institution Evaluation'!$A$56:$F$345,6,0)&amp;""</f>
        <v/>
      </c>
      <c r="I45" s="35"/>
      <c r="J45" s="35"/>
    </row>
    <row r="46" spans="1:10" s="1" customFormat="1" ht="135" x14ac:dyDescent="0.25">
      <c r="A46" s="19" t="s">
        <v>187</v>
      </c>
      <c r="B46" s="18" t="str">
        <f>VLOOKUP($A46,Questions!$A$2:$X$333,2,0)</f>
        <v>Is media used for long-term retention of business data and archival purposes stored in a secure, environmentally protected area?*</v>
      </c>
      <c r="C46" s="21" t="s">
        <v>26</v>
      </c>
      <c r="D46" s="309" t="s">
        <v>188</v>
      </c>
      <c r="E46" s="163" t="str">
        <f>IF($C$18='Auto Responses'!$J$4,'Auto Responses'!$A$3,IF($C46='Auto Responses'!$J$3,VLOOKUP($A46,Questions!$A$2:$X$333,17,0)&amp;"",IF($C46='Auto Responses'!$J$4,VLOOKUP($A46,Questions!$A$2:$X$333,16,0)&amp;"",VLOOKUP($A46,Questions!$A$2:$X$333,15,0)&amp;"")))</f>
        <v>Provide a general summary of your archival environment.</v>
      </c>
      <c r="F46" s="197" t="str">
        <f>VLOOKUP($A46,'Institution Evaluation'!$A$56:$F$345,6,0)&amp;""</f>
        <v/>
      </c>
      <c r="I46" s="35"/>
      <c r="J46" s="35"/>
    </row>
    <row r="47" spans="1:10" s="1" customFormat="1" ht="189" x14ac:dyDescent="0.25">
      <c r="A47" s="19" t="s">
        <v>189</v>
      </c>
      <c r="B47" s="18" t="str">
        <f>VLOOKUP($A47,Questions!$A$2:$X$333,2,0)</f>
        <v>At the completion of this contract, will data be returned to the institution and/or deleted from all your systems and archives?</v>
      </c>
      <c r="C47" s="21" t="s">
        <v>26</v>
      </c>
      <c r="D47" s="309" t="s">
        <v>190</v>
      </c>
      <c r="E47" s="163" t="str">
        <f>IF($C$18='Auto Responses'!$J$4,'Auto Responses'!$A$3,IF($C47='Auto Responses'!$J$3,VLOOKUP($A47,Questions!$A$2:$X$333,17,0)&amp;"",IF($C47='Auto Responses'!$J$4,VLOOKUP($A47,Questions!$A$2:$X$333,16,0)&amp;"",VLOOKUP($A47,Questions!$A$2:$X$333,15,0)&amp;"")))</f>
        <v>State the length of time that the institution's data will be available in the system at the completion of the contract.</v>
      </c>
      <c r="F47" s="197" t="str">
        <f>VLOOKUP($A47,'Institution Evaluation'!$A$56:$F$345,6,0)&amp;""</f>
        <v/>
      </c>
      <c r="I47" s="35"/>
      <c r="J47" s="35"/>
    </row>
    <row r="48" spans="1:10" s="1" customFormat="1" ht="94.5" x14ac:dyDescent="0.25">
      <c r="A48" s="19" t="s">
        <v>191</v>
      </c>
      <c r="B48" s="18" t="str">
        <f>VLOOKUP($A48,Questions!$A$2:$X$333,2,0)</f>
        <v>Can the institution extract a full or partial backup of data?</v>
      </c>
      <c r="C48" s="21" t="s">
        <v>26</v>
      </c>
      <c r="D48" s="309" t="s">
        <v>192</v>
      </c>
      <c r="E48" s="163" t="str">
        <f>IF($C$18='Auto Responses'!$J$4,'Auto Responses'!$A$3,IF($C48='Auto Responses'!$J$3,VLOOKUP($A48,Questions!$A$2:$X$333,17,0)&amp;"",IF($C48='Auto Responses'!$J$4,VLOOKUP($A48,Questions!$A$2:$X$333,16,0)&amp;"",VLOOKUP($A48,Questions!$A$2:$X$333,15,0)&amp;"")))</f>
        <v>Provide a general summary of how full and partial backups of data can be extracted.</v>
      </c>
      <c r="F48" s="197" t="str">
        <f>VLOOKUP($A48,'Institution Evaluation'!$A$56:$F$345,6,0)&amp;""</f>
        <v/>
      </c>
      <c r="I48" s="35"/>
      <c r="J48" s="35"/>
    </row>
    <row r="49" spans="1:10" s="1" customFormat="1" ht="121.5" x14ac:dyDescent="0.25">
      <c r="A49" s="19" t="s">
        <v>193</v>
      </c>
      <c r="B49" s="18" t="str">
        <f>VLOOKUP($A49,Questions!$A$2:$X$333,2,0)</f>
        <v>Do current backups include all operating system software, utilities, security software, application software, and data files necessary for recovery?</v>
      </c>
      <c r="C49" s="21" t="s">
        <v>26</v>
      </c>
      <c r="D49" s="309" t="s">
        <v>194</v>
      </c>
      <c r="E49" s="163" t="str">
        <f>IF($C$18='Auto Responses'!$J$4,'Auto Responses'!$A$3,IF($C49='Auto Responses'!$J$3,VLOOKUP($A49,Questions!$A$2:$X$333,17,0)&amp;"",IF($C49='Auto Responses'!$J$4,VLOOKUP($A49,Questions!$A$2:$X$333,16,0)&amp;"",VLOOKUP($A49,Questions!$A$2:$X$333,15,0)&amp;"")))</f>
        <v>Describe your overall strategy to accomplish these elements.</v>
      </c>
      <c r="F49" s="197" t="str">
        <f>VLOOKUP($A49,'Institution Evaluation'!$A$56:$F$345,6,0)&amp;""</f>
        <v/>
      </c>
      <c r="I49" s="35"/>
      <c r="J49" s="35"/>
    </row>
    <row r="50" spans="1:10" s="1" customFormat="1" ht="135" x14ac:dyDescent="0.25">
      <c r="A50" s="19" t="s">
        <v>195</v>
      </c>
      <c r="B50" s="18" t="str">
        <f>VLOOKUP($A50,Questions!$A$2:$X$333,2,0)</f>
        <v>Are you performing off-site backups (i.e., digitally moved off site)?</v>
      </c>
      <c r="C50" s="21" t="s">
        <v>46</v>
      </c>
      <c r="D50" s="309" t="s">
        <v>196</v>
      </c>
      <c r="E50" s="163" t="str">
        <f>IF($C$18='Auto Responses'!$J$4,'Auto Responses'!$A$3,IF($C50='Auto Responses'!$J$3,VLOOKUP($A50,Questions!$A$2:$X$333,17,0)&amp;"",IF($C50='Auto Responses'!$J$4,VLOOKUP($A50,Questions!$A$2:$X$333,16,0)&amp;"",VLOOKUP($A50,Questions!$A$2:$X$333,15,0)&amp;"")))</f>
        <v>State any plans to implement off-site virtual backups in your environment.</v>
      </c>
      <c r="F50" s="197" t="str">
        <f>VLOOKUP($A50,'Institution Evaluation'!$A$56:$F$345,6,0)&amp;""</f>
        <v/>
      </c>
      <c r="I50" s="35"/>
      <c r="J50" s="35"/>
    </row>
    <row r="51" spans="1:10" s="1" customFormat="1" ht="94.5" x14ac:dyDescent="0.25">
      <c r="A51" s="19" t="s">
        <v>197</v>
      </c>
      <c r="B51" s="18" t="str">
        <f>VLOOKUP($A51,Questions!$A$2:$X$333,2,0)</f>
        <v>Are physical backups taken off-site (i.e., physically moved off site)?</v>
      </c>
      <c r="C51" s="21" t="s">
        <v>46</v>
      </c>
      <c r="D51" s="309" t="s">
        <v>198</v>
      </c>
      <c r="E51" s="163" t="str">
        <f>IF($C$18='Auto Responses'!$J$4,'Auto Responses'!$A$3,IF($C$20='Auto Responses'!$J$4,'Auto Responses'!$A$28,IF($C51='Auto Responses'!$J$3,VLOOKUP($A51,Questions!$A$2:$X$333,17,0)&amp;"",IF($C51='Auto Responses'!$J$4,VLOOKUP($A51,Questions!$A$2:$X$333,16,0)&amp;"",VLOOKUP($A51,Questions!$A$2:$X$333,15,0)&amp;""))))</f>
        <v>State any plans to implement off-site physical backups in your environment.</v>
      </c>
      <c r="F51" s="197" t="str">
        <f>VLOOKUP($A51,'Institution Evaluation'!$A$56:$F$345,6,0)&amp;""</f>
        <v/>
      </c>
      <c r="I51" s="35"/>
      <c r="J51" s="35"/>
    </row>
    <row r="52" spans="1:10" s="1" customFormat="1" ht="67.5" x14ac:dyDescent="0.25">
      <c r="A52" s="19" t="s">
        <v>199</v>
      </c>
      <c r="B52" s="18" t="str">
        <f>VLOOKUP($A52,Questions!$A$2:$X$333,2,0)</f>
        <v>Are data backups encrypted?</v>
      </c>
      <c r="C52" s="21" t="s">
        <v>26</v>
      </c>
      <c r="D52" s="309" t="s">
        <v>200</v>
      </c>
      <c r="E52" s="163" t="str">
        <f>IF($C$18='Auto Responses'!$J$4,'Auto Responses'!$A$3,IF($C52='Auto Responses'!$J$3,VLOOKUP($A52,Questions!$A$2:$X$333,17,0)&amp;"",IF($C52='Auto Responses'!$J$4,VLOOKUP($A52,Questions!$A$2:$X$333,16,0)&amp;"",VLOOKUP($A52,Questions!$A$2:$X$333,15,0)&amp;"")))</f>
        <v>Summarize the encryption algorithm/strategy you are using to secure backups.</v>
      </c>
      <c r="F52" s="197" t="str">
        <f>VLOOKUP($A52,'Institution Evaluation'!$A$56:$F$345,6,0)&amp;""</f>
        <v/>
      </c>
      <c r="I52" s="35"/>
      <c r="J52" s="35"/>
    </row>
    <row r="53" spans="1:10" s="1" customFormat="1" ht="162" x14ac:dyDescent="0.25">
      <c r="A53" s="19" t="s">
        <v>201</v>
      </c>
      <c r="B53" s="18" t="str">
        <f>VLOOKUP($A53,Questions!$A$2:$X$333,2,0)</f>
        <v>Do you have a media handling process that is documented and currently implemented that meets established business needs and regulatory requirements, including end-of-life, repurposing, and data-sanitization procedures?</v>
      </c>
      <c r="C53" s="21" t="s">
        <v>26</v>
      </c>
      <c r="D53" s="309" t="s">
        <v>202</v>
      </c>
      <c r="E53" s="163" t="str">
        <f>IF($C$18='Auto Responses'!$J$4,'Auto Responses'!$A$3,IF($C53='Auto Responses'!$J$3,VLOOKUP($A53,Questions!$A$2:$X$333,17,0)&amp;"",IF($C53='Auto Responses'!$J$4,VLOOKUP($A53,Questions!$A$2:$X$333,16,0)&amp;"",VLOOKUP($A53,Questions!$A$2:$X$333,15,0)&amp;"")))</f>
        <v>Provide documented details of this process (link or attached).</v>
      </c>
      <c r="F53" s="197" t="str">
        <f>VLOOKUP($A53,'Institution Evaluation'!$A$56:$F$345,6,0)&amp;""</f>
        <v/>
      </c>
      <c r="I53" s="35"/>
      <c r="J53" s="35"/>
    </row>
    <row r="54" spans="1:10" s="1" customFormat="1" ht="108" x14ac:dyDescent="0.25">
      <c r="A54" s="19" t="s">
        <v>203</v>
      </c>
      <c r="B54" s="18" t="str">
        <f>VLOOKUP($A54,Questions!$A$2:$X$333,2,0)</f>
        <v>Does the process described in DATA-15 adhere to DoD 5220.22-M and/or NIST SP 800-88 standards?</v>
      </c>
      <c r="C54" s="21" t="s">
        <v>26</v>
      </c>
      <c r="D54" s="309" t="s">
        <v>204</v>
      </c>
      <c r="E54" s="163" t="str">
        <f>IF($C$18='Auto Responses'!$J$4,'Auto Responses'!$A$3,IF($C54='Auto Responses'!$J$3,VLOOKUP($A54,Questions!$A$2:$X$333,17,0)&amp;"",IF($C54='Auto Responses'!$J$4,VLOOKUP($A54,Questions!$A$2:$X$333,16,0)&amp;"",VLOOKUP($A54,Questions!$A$2:$X$333,15,0)&amp;"")))</f>
        <v/>
      </c>
      <c r="F54" s="197" t="str">
        <f>VLOOKUP($A54,'Institution Evaluation'!$A$56:$F$345,6,0)&amp;""</f>
        <v/>
      </c>
      <c r="I54" s="35"/>
      <c r="J54" s="35"/>
    </row>
    <row r="55" spans="1:10" s="1" customFormat="1" ht="405" x14ac:dyDescent="0.25">
      <c r="A55" s="19" t="s">
        <v>205</v>
      </c>
      <c r="B55" s="18" t="str">
        <f>VLOOKUP($A55,Questions!$A$2:$X$333,2,0)</f>
        <v>Does your staff (or third party) have access to institutional data (e.g., financial, PHI, or other sensitive information) through any means?</v>
      </c>
      <c r="C55" s="21" t="s">
        <v>26</v>
      </c>
      <c r="D55" s="309" t="s">
        <v>206</v>
      </c>
      <c r="E55" s="163" t="str">
        <f>IF($C$18='Auto Responses'!$J$4,'Auto Responses'!$A$3,IF($C55='Auto Responses'!$J$3,VLOOKUP($A55,Questions!$A$2:$X$333,17,0)&amp;"",IF($C55='Auto Responses'!$J$4,VLOOKUP($A55,Questions!$A$2:$X$333,16,0)&amp;"",VLOOKUP($A55,Questions!$A$2:$X$333,15,0)&amp;"")))</f>
        <v>Summarize what access staff (or third parties) have to institutional data.</v>
      </c>
      <c r="F55" s="197" t="str">
        <f>VLOOKUP($A55,'Institution Evaluation'!$A$56:$F$345,6,0)&amp;""</f>
        <v/>
      </c>
      <c r="I55" s="35"/>
      <c r="J55" s="35"/>
    </row>
    <row r="56" spans="1:10" s="1" customFormat="1" ht="216" x14ac:dyDescent="0.25">
      <c r="A56" s="19" t="s">
        <v>207</v>
      </c>
      <c r="B56" s="18" t="str">
        <f>VLOOKUP($A56,Questions!$A$2:$X$333,2,0)</f>
        <v>Do you have a documented and currently implemented strategy for securing employee workstations when they work remotely (i.e., not in a trusted computing environment)?</v>
      </c>
      <c r="C56" s="21" t="s">
        <v>26</v>
      </c>
      <c r="D56" s="309" t="s">
        <v>208</v>
      </c>
      <c r="E56" s="163" t="str">
        <f>IF($C$18='Auto Responses'!$J$4,'Auto Responses'!$A$3,IF($C56='Auto Responses'!$J$3,VLOOKUP($A56,Questions!$A$2:$X$333,17,0)&amp;"",IF($C56='Auto Responses'!$J$4,VLOOKUP($A56,Questions!$A$2:$X$333,16,0)&amp;"",VLOOKUP($A56,Questions!$A$2:$X$333,15,0)&amp;"")))</f>
        <v>Provide a detailed summary outlining the security controls implemented to protect the institution's data.</v>
      </c>
      <c r="F56" s="197" t="str">
        <f>VLOOKUP($A56,'Institution Evaluation'!$A$56:$F$345,6,0)&amp;""</f>
        <v/>
      </c>
      <c r="I56" s="35"/>
      <c r="J56" s="35"/>
    </row>
    <row r="57" spans="1:10" s="1" customFormat="1" ht="189" x14ac:dyDescent="0.25">
      <c r="A57" s="19" t="s">
        <v>209</v>
      </c>
      <c r="B57" s="18" t="str">
        <f>VLOOKUP($A57,Questions!$A$2:$X$333,2,0)</f>
        <v>Does the environment provide for dedicated single-tenant capabilities? If not, describe how your solution or environment separates data from different customers (e.g., logically, physically, single tenancy, multi-tenancy).</v>
      </c>
      <c r="C57" s="21" t="s">
        <v>26</v>
      </c>
      <c r="D57" s="309" t="s">
        <v>210</v>
      </c>
      <c r="E57" s="163" t="str">
        <f>IF($C$18='Auto Responses'!$J$4,'Auto Responses'!$A$3,IF($C57='Auto Responses'!$J$3,VLOOKUP($A57,Questions!$A$2:$X$333,17,0)&amp;"",IF($C57='Auto Responses'!$J$4,VLOOKUP($A57,Questions!$A$2:$X$333,16,0)&amp;"",VLOOKUP($A57,Questions!$A$2:$X$333,15,0)&amp;"")))</f>
        <v>Describe or provide a reference to how institution data is separated from that of other customers.</v>
      </c>
      <c r="F57" s="197" t="str">
        <f>VLOOKUP($A57,'Institution Evaluation'!$A$56:$F$345,6,0)&amp;""</f>
        <v/>
      </c>
      <c r="I57" s="35"/>
      <c r="J57" s="35"/>
    </row>
    <row r="58" spans="1:10" s="1" customFormat="1" ht="108" x14ac:dyDescent="0.25">
      <c r="A58" s="19" t="s">
        <v>211</v>
      </c>
      <c r="B58" s="18" t="str">
        <f>VLOOKUP($A58,Questions!$A$2:$X$333,2,0)</f>
        <v>Are ownership rights to all data, inputs, outputs, and metadata retained by the institution?</v>
      </c>
      <c r="C58" s="21" t="s">
        <v>26</v>
      </c>
      <c r="D58" s="309" t="s">
        <v>212</v>
      </c>
      <c r="E58" s="163" t="str">
        <f>IF($C$18='Auto Responses'!$J$4,'Auto Responses'!$A$3,IF($C58='Auto Responses'!$J$3,VLOOKUP($A58,Questions!$A$2:$X$333,17,0)&amp;"",IF($C58='Auto Responses'!$J$4,VLOOKUP($A58,Questions!$A$2:$X$333,16,0)&amp;"",VLOOKUP($A58,Questions!$A$2:$X$333,15,0)&amp;"")))</f>
        <v>Provide reference to your data ownership documentation.</v>
      </c>
      <c r="F58" s="197" t="str">
        <f>VLOOKUP($A58,'Institution Evaluation'!$A$56:$F$345,6,0)&amp;""</f>
        <v/>
      </c>
      <c r="I58" s="35"/>
      <c r="J58" s="35"/>
    </row>
    <row r="59" spans="1:10" s="1" customFormat="1" ht="54" x14ac:dyDescent="0.25">
      <c r="A59" s="19" t="s">
        <v>213</v>
      </c>
      <c r="B59" s="18" t="str">
        <f>VLOOKUP($A59,Questions!$A$2:$X$333,2,0)</f>
        <v>In the event of imminent bankruptcy, closing of business, or retirement of service, will you provide 90 days for customers to get their data out of the system and migrate applications?</v>
      </c>
      <c r="C59" s="21" t="s">
        <v>26</v>
      </c>
      <c r="D59" s="309" t="s">
        <v>214</v>
      </c>
      <c r="E59" s="163" t="str">
        <f>IF($C$18='Auto Responses'!$J$4,'Auto Responses'!$A$3,IF($C59='Auto Responses'!$J$3,VLOOKUP($A59,Questions!$A$2:$X$333,17,0)&amp;"",IF($C59='Auto Responses'!$J$4,VLOOKUP($A59,Questions!$A$2:$X$333,16,0)&amp;"",VLOOKUP($A59,Questions!$A$2:$X$333,15,0)&amp;"")))</f>
        <v>State how the institution will be notified of imminent termination.</v>
      </c>
      <c r="F59" s="197" t="str">
        <f>VLOOKUP($A59,'Institution Evaluation'!$A$56:$F$345,6,0)&amp;""</f>
        <v/>
      </c>
      <c r="I59" s="35"/>
      <c r="J59" s="35"/>
    </row>
    <row r="60" spans="1:10" s="1" customFormat="1" ht="162" x14ac:dyDescent="0.25">
      <c r="A60" s="19" t="s">
        <v>215</v>
      </c>
      <c r="B60" s="18" t="str">
        <f>VLOOKUP($A60,Questions!$A$2:$X$333,2,0)</f>
        <v>Are involatile backup copies made according to predefined schedules and securely stored and protected?</v>
      </c>
      <c r="C60" s="21" t="s">
        <v>26</v>
      </c>
      <c r="D60" s="309" t="s">
        <v>216</v>
      </c>
      <c r="E60" s="163" t="str">
        <f>IF($C$18='Auto Responses'!$J$4,'Auto Responses'!$A$3,IF($C60='Auto Responses'!$J$3,VLOOKUP($A60,Questions!$A$2:$X$333,17,0)&amp;"",IF($C60='Auto Responses'!$J$4,VLOOKUP($A60,Questions!$A$2:$X$333,16,0)&amp;"",VLOOKUP($A60,Questions!$A$2:$X$333,15,0)&amp;"")))</f>
        <v>If your strategy uses different processes for services and data, ensure that all strategies are clearly stated and supported.</v>
      </c>
      <c r="F60" s="197" t="str">
        <f>VLOOKUP($A60,'Institution Evaluation'!$A$56:$F$345,6,0)&amp;""</f>
        <v/>
      </c>
      <c r="I60" s="35"/>
      <c r="J60" s="35"/>
    </row>
    <row r="61" spans="1:10" s="1" customFormat="1" ht="202.5" x14ac:dyDescent="0.25">
      <c r="A61" s="19" t="s">
        <v>217</v>
      </c>
      <c r="B61" s="18" t="str">
        <f>VLOOKUP($A61,Questions!$A$2:$X$333,2,0)</f>
        <v>Do you have a cryptographic key management process (generation, exchange, storage, safeguards, use, vetting, and replacement) that is documented and currently implemented, for all system components (e.g., database, system, web, etc.)?</v>
      </c>
      <c r="C61" s="21" t="s">
        <v>26</v>
      </c>
      <c r="D61" s="309" t="s">
        <v>218</v>
      </c>
      <c r="E61" s="163" t="str">
        <f>IF($C$18='Auto Responses'!$J$4,'Auto Responses'!$A$3,IF($C61='Auto Responses'!$J$3,VLOOKUP($A61,Questions!$A$2:$X$333,17,0)&amp;"",IF($C61='Auto Responses'!$J$4,VLOOKUP($A61,Questions!$A$2:$X$333,16,0)&amp;"",VLOOKUP($A61,Questions!$A$2:$X$333,15,0)&amp;"")))</f>
        <v>Summarize your cryptographic key management process.</v>
      </c>
      <c r="F61" s="197" t="str">
        <f>VLOOKUP($A61,'Institution Evaluation'!$A$56:$F$345,6,0)&amp;""</f>
        <v/>
      </c>
      <c r="G61" s="234" t="s">
        <v>36</v>
      </c>
      <c r="I61" s="35"/>
      <c r="J61" s="35"/>
    </row>
    <row r="62" spans="1:10" s="167" customFormat="1" ht="36.75" customHeight="1" x14ac:dyDescent="0.25">
      <c r="A62" s="263" t="s">
        <v>54</v>
      </c>
      <c r="B62" s="249"/>
      <c r="C62" s="250"/>
      <c r="D62" s="310"/>
      <c r="E62" s="252"/>
      <c r="F62" s="253"/>
      <c r="G62" s="254"/>
      <c r="I62" s="168"/>
      <c r="J62" s="168"/>
    </row>
    <row r="63" spans="1:10" s="1" customFormat="1" ht="15" customHeight="1" x14ac:dyDescent="0.25">
      <c r="A63" s="262"/>
      <c r="C63" s="8"/>
      <c r="D63" s="9"/>
      <c r="E63" s="10"/>
      <c r="I63" s="35"/>
      <c r="J63" s="35"/>
    </row>
    <row r="64" spans="1:10" s="1" customFormat="1" ht="15" hidden="1" customHeight="1" x14ac:dyDescent="0.25">
      <c r="A64"/>
      <c r="C64" s="8"/>
      <c r="D64" s="9"/>
      <c r="E64" s="10"/>
      <c r="I64" s="35"/>
      <c r="J64" s="35"/>
    </row>
    <row r="65" spans="1:12" ht="15" hidden="1" customHeight="1" x14ac:dyDescent="0.25">
      <c r="A65" s="1"/>
      <c r="B65" s="8"/>
      <c r="C65" s="71"/>
      <c r="D65" s="10"/>
      <c r="E65" s="1"/>
      <c r="H65" s="35"/>
      <c r="I65" s="1"/>
      <c r="J65" s="1"/>
      <c r="L65"/>
    </row>
    <row r="66" spans="1:12" ht="57" hidden="1" customHeight="1" x14ac:dyDescent="0.25">
      <c r="A66" s="19" t="e">
        <f>#REF!</f>
        <v>#REF!</v>
      </c>
    </row>
    <row r="67" spans="1:12" ht="42.75" hidden="1" customHeight="1" x14ac:dyDescent="0.25">
      <c r="A67" s="19" t="e">
        <f>#REF!</f>
        <v>#REF!</v>
      </c>
    </row>
    <row r="68" spans="1:12" ht="15" hidden="1" customHeight="1" x14ac:dyDescent="0.25">
      <c r="A68" s="19" t="e">
        <f>#REF!</f>
        <v>#REF!</v>
      </c>
    </row>
    <row r="69" spans="1:12" ht="15" hidden="1" customHeight="1" x14ac:dyDescent="0.25">
      <c r="A69" s="19" t="e">
        <f>#REF!</f>
        <v>#REF!</v>
      </c>
    </row>
    <row r="70" spans="1:12" ht="15" hidden="1" customHeight="1" x14ac:dyDescent="0.25">
      <c r="A70" s="19" t="e">
        <f>#REF!</f>
        <v>#REF!</v>
      </c>
    </row>
    <row r="71" spans="1:12" ht="15" hidden="1" customHeight="1" x14ac:dyDescent="0.25">
      <c r="A71" s="19" t="e">
        <f>#REF!</f>
        <v>#REF!</v>
      </c>
    </row>
    <row r="72" spans="1:12" ht="15" hidden="1" customHeight="1" x14ac:dyDescent="0.25">
      <c r="A72" s="19" t="e">
        <f>#REF!</f>
        <v>#REF!</v>
      </c>
    </row>
    <row r="73" spans="1:12" ht="15" hidden="1" customHeight="1" x14ac:dyDescent="0.25"/>
    <row r="74" spans="1:12" ht="15" hidden="1" customHeight="1" x14ac:dyDescent="0.25"/>
    <row r="75" spans="1:12" ht="15" hidden="1" customHeight="1" x14ac:dyDescent="0.25"/>
    <row r="76" spans="1:12" ht="15" hidden="1" customHeight="1" x14ac:dyDescent="0.25"/>
    <row r="77" spans="1:12" ht="15" hidden="1" customHeight="1" x14ac:dyDescent="0.25"/>
    <row r="78" spans="1:12" ht="15" hidden="1" customHeight="1" x14ac:dyDescent="0.25"/>
    <row r="79" spans="1:12" ht="15" hidden="1" customHeight="1" x14ac:dyDescent="0.25"/>
    <row r="80" spans="1:12"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sheetData>
  <dataValidations count="2">
    <dataValidation allowBlank="1" showInputMessage="1" showErrorMessage="1" promptTitle="Warning!" prompt="The HECVAT is built using a number of complex formulas. Editing this cell can break the functionality of the tool. " sqref="C4:C12 A3:A62 C17:D17 C19:D19 C38:D38 D2:F16 C2 B1:B62 A1 E17:F61" xr:uid="{64E30B2D-E049-453B-8CAE-97B86F3413F2}"/>
    <dataValidation allowBlank="1" showInputMessage="1" showErrorMessage="1" prompt="This answer has been populated from the &quot;START HERE&quot; tab and does not need to be re-entered." sqref="C3 C13:C16 C18" xr:uid="{6D8F93AD-047A-4C29-8748-47EEDCFF053B}"/>
  </dataValidations>
  <hyperlinks>
    <hyperlink ref="A11" r:id="rId1" display="http://www.educause.edu/HECVAT" xr:uid="{6D5A27A0-CF84-4C62-B544-96085F34325A}"/>
  </hyperlinks>
  <pageMargins left="0.75" right="0.75" top="1" bottom="1" header="0.5" footer="0.5"/>
  <pageSetup orientation="landscape" r:id="rId2"/>
  <headerFooter>
    <oddFooter>&amp;L&amp;"Helvetica,Regular"&amp;12&amp;K000000	&amp;P</oddFooter>
  </headerFooter>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C093D72B-46CA-40A8-B0D5-8700FB88AD9A}">
          <x14:formula1>
            <xm:f>'Auto Responses'!$J$3:$J$4</xm:f>
          </x14:formula1>
          <xm:sqref>C37 C20:C28 C30:C35 C39:C50 C52:C62</xm:sqref>
        </x14:dataValidation>
        <x14:dataValidation type="list" allowBlank="1" showInputMessage="1" showErrorMessage="1" xr:uid="{0AAA81DB-1F91-4505-860D-18952EEEC318}">
          <x14:formula1>
            <xm:f>'Auto Responses'!$J$3:$J$5</xm:f>
          </x14:formula1>
          <xm:sqref>C36 C51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DFC9E-3000-4DB3-8715-E42EDA42AE0D}">
  <sheetPr>
    <tabColor rgb="FF00636C"/>
  </sheetPr>
  <dimension ref="A1:L84"/>
  <sheetViews>
    <sheetView showGridLines="0" showZeros="0" topLeftCell="A70" zoomScale="150" zoomScaleNormal="150" workbookViewId="0">
      <selection activeCell="B34" sqref="B34"/>
    </sheetView>
  </sheetViews>
  <sheetFormatPr defaultColWidth="0" defaultRowHeight="0" customHeight="1" zeroHeight="1" x14ac:dyDescent="0.25"/>
  <cols>
    <col min="1" max="1" width="8.265625" style="23" customWidth="1"/>
    <col min="2" max="2" width="55.1328125" style="1" customWidth="1"/>
    <col min="3" max="3" width="18.86328125" style="8" customWidth="1"/>
    <col min="4" max="4" width="55.59765625" style="9" customWidth="1"/>
    <col min="5" max="5" width="32" style="10" customWidth="1"/>
    <col min="6" max="6" width="30.59765625" style="1" customWidth="1"/>
    <col min="7" max="7" width="18.1328125" style="1" customWidth="1"/>
    <col min="8" max="8" width="18.1328125" style="1" hidden="1" customWidth="1"/>
    <col min="9" max="10" width="18.1328125" style="35" hidden="1" customWidth="1"/>
    <col min="11" max="11" width="4.46484375" style="1" hidden="1" customWidth="1"/>
    <col min="12" max="12" width="6.59765625" style="1" hidden="1" customWidth="1"/>
    <col min="13" max="16384" width="6.59765625" style="23" hidden="1"/>
  </cols>
  <sheetData>
    <row r="1" spans="1:12" ht="0" hidden="1" customHeight="1" x14ac:dyDescent="0.25">
      <c r="A1" s="23" t="s">
        <v>0</v>
      </c>
    </row>
    <row r="2" spans="1:12" customFormat="1" ht="36" customHeight="1" x14ac:dyDescent="0.25">
      <c r="A2" s="164" t="s">
        <v>219</v>
      </c>
      <c r="B2" s="164"/>
      <c r="C2" s="165"/>
      <c r="D2" s="304"/>
      <c r="E2" s="166"/>
      <c r="F2" s="166" t="str">
        <f>'Auto Responses'!$A$36</f>
        <v>Version 4.1.5</v>
      </c>
      <c r="G2" s="1"/>
      <c r="H2" s="1"/>
      <c r="I2" s="35"/>
      <c r="J2" s="1"/>
      <c r="K2" s="1"/>
      <c r="L2" s="1"/>
    </row>
    <row r="3" spans="1:12" s="1" customFormat="1" ht="29.25" customHeight="1" x14ac:dyDescent="0.25">
      <c r="A3" s="37" t="s">
        <v>2</v>
      </c>
      <c r="B3" s="38"/>
      <c r="C3" s="66">
        <f>'START HERE'!$C$3</f>
        <v>46255</v>
      </c>
      <c r="D3" s="305"/>
      <c r="E3" s="36"/>
      <c r="F3" s="50"/>
      <c r="I3" s="35"/>
    </row>
    <row r="4" spans="1:12" s="1" customFormat="1" ht="36" customHeight="1" x14ac:dyDescent="0.25">
      <c r="A4" s="11" t="s">
        <v>3</v>
      </c>
      <c r="B4" s="12"/>
      <c r="C4" s="13"/>
      <c r="D4" s="14"/>
      <c r="E4" s="15"/>
      <c r="F4" s="15"/>
      <c r="I4" s="35"/>
    </row>
    <row r="5" spans="1:12"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6"/>
      <c r="E5" s="16"/>
      <c r="F5" s="257"/>
      <c r="I5" s="35"/>
    </row>
    <row r="6" spans="1:12"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6"/>
      <c r="E6" s="16"/>
      <c r="F6" s="258"/>
      <c r="I6" s="35"/>
    </row>
    <row r="7" spans="1:12"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6"/>
      <c r="E7" s="16"/>
      <c r="F7" s="258"/>
      <c r="I7" s="35"/>
    </row>
    <row r="8" spans="1:12" s="1" customFormat="1" ht="19.5" customHeight="1" x14ac:dyDescent="0.25">
      <c r="A8" s="42" t="str">
        <f>HLOOKUP($A$4,'Auto Responses'!$D$2:$D$8,5,0)&amp;""</f>
        <v>4. DO NOT complete any fields in the "Evaluation" sheets or the "Analyst Notes" column.</v>
      </c>
      <c r="B8" s="16"/>
      <c r="C8" s="67"/>
      <c r="D8" s="306"/>
      <c r="E8" s="16"/>
      <c r="F8" s="258"/>
      <c r="I8" s="35"/>
    </row>
    <row r="9" spans="1:12" s="1" customFormat="1" ht="19.5" customHeight="1" x14ac:dyDescent="0.25">
      <c r="A9" s="42" t="str">
        <f>HLOOKUP($A$4,'Auto Responses'!$D$2:$D$8,6,0)&amp;""</f>
        <v>5. Return the completed file to institutions.</v>
      </c>
      <c r="B9" s="16"/>
      <c r="C9" s="67"/>
      <c r="D9" s="306"/>
      <c r="E9" s="16"/>
      <c r="F9" s="258"/>
      <c r="I9" s="35"/>
    </row>
    <row r="10" spans="1:12" s="1" customFormat="1" ht="19.5" customHeight="1" x14ac:dyDescent="0.25">
      <c r="A10" s="243" t="str">
        <f>HLOOKUP($A$4,'Auto Responses'!$D$2:$D$8,7,0)&amp;""</f>
        <v>* Denotes critical questions. Critical questions are those deemed most important to institutions by higher education volunteers.</v>
      </c>
      <c r="B10" s="16"/>
      <c r="C10" s="67"/>
      <c r="D10" s="306"/>
      <c r="E10" s="16"/>
      <c r="F10" s="258"/>
      <c r="I10" s="35"/>
    </row>
    <row r="11" spans="1:12" s="1" customFormat="1" ht="19.5" customHeight="1" x14ac:dyDescent="0.25">
      <c r="A11" s="242" t="str">
        <f>HLOOKUP($A$4,'Auto Responses'!$D$2:$D$9,8,0)&amp;""</f>
        <v>For full instructions, please visit educause.edu/HECVAT</v>
      </c>
      <c r="B11" s="16"/>
      <c r="C11" s="67"/>
      <c r="D11" s="306"/>
      <c r="E11" s="16"/>
      <c r="F11" s="259"/>
      <c r="I11" s="35"/>
    </row>
    <row r="12" spans="1:12" s="1" customFormat="1" ht="36" customHeight="1" x14ac:dyDescent="0.25">
      <c r="A12" s="63" t="str">
        <f>VLOOKUP(LEFT($A13,4),'Auto Responses'!$N$4:$O$38,2,0)&amp;""</f>
        <v xml:space="preserve"> General Information</v>
      </c>
      <c r="B12" s="12"/>
      <c r="C12" s="13" t="s">
        <v>21</v>
      </c>
      <c r="D12" s="307"/>
      <c r="E12" s="17"/>
      <c r="F12" s="17"/>
      <c r="I12" s="35"/>
      <c r="J12" s="35"/>
    </row>
    <row r="13" spans="1:12" s="1" customFormat="1" ht="22.5" customHeight="1" x14ac:dyDescent="0.25">
      <c r="A13" s="19" t="s">
        <v>4</v>
      </c>
      <c r="B13" s="20" t="str">
        <f>VLOOKUP($A13,Questions!$A$2:$X$333,2,0)&amp;""</f>
        <v>Solution Provider Name</v>
      </c>
      <c r="C13" s="76" t="str">
        <f>VLOOKUP($A13,'START HERE'!$A$13:$C$21,3,0)&amp;""</f>
        <v>Preservica Inc</v>
      </c>
      <c r="D13" s="32"/>
      <c r="E13" s="32"/>
      <c r="F13" s="50"/>
      <c r="I13" s="35"/>
      <c r="J13" s="35"/>
    </row>
    <row r="14" spans="1:12" s="1" customFormat="1" ht="22.5" customHeight="1" x14ac:dyDescent="0.25">
      <c r="A14" s="19" t="s">
        <v>6</v>
      </c>
      <c r="B14" s="20" t="str">
        <f>VLOOKUP($A14,Questions!$A$2:$X$333,2,0)&amp;""</f>
        <v>Solution Name</v>
      </c>
      <c r="C14" s="76" t="str">
        <f>VLOOKUP($A14,'START HERE'!$A$13:$C$21,3,0)&amp;""</f>
        <v>Preservica Pro, Preservica Pro Plus, Preservica Enterprise, Preservica Enterprise Plus - v9.x</v>
      </c>
      <c r="D14" s="32"/>
      <c r="E14" s="32"/>
      <c r="F14" s="50"/>
      <c r="I14" s="35"/>
      <c r="J14" s="35"/>
    </row>
    <row r="15" spans="1:12" s="1" customFormat="1" ht="22.5" customHeight="1" x14ac:dyDescent="0.25">
      <c r="A15" s="19" t="s">
        <v>8</v>
      </c>
      <c r="B15" s="20" t="str">
        <f>VLOOKUP($A15,Questions!$A$2:$X$333,2,0)&amp;""</f>
        <v>Solution Description</v>
      </c>
      <c r="C15" s="76" t="str">
        <f>VLOOKUP($A15,'START HERE'!$A$13:$C$21,3,0)&amp;""</f>
        <v>Preservica combines all the core requirements for successful long-term active digital preservation – including public and secure access - into a single integrated application that can be quickly deployed and hosted in the cloud.</v>
      </c>
      <c r="D15" s="32"/>
      <c r="E15" s="32"/>
      <c r="F15" s="50"/>
      <c r="I15" s="35"/>
      <c r="J15" s="35"/>
    </row>
    <row r="16" spans="1:12" s="1" customFormat="1" ht="22.5" customHeight="1" thickBot="1" x14ac:dyDescent="0.3">
      <c r="A16" s="19" t="s">
        <v>17</v>
      </c>
      <c r="B16" s="20" t="str">
        <f>VLOOKUP($A16,Questions!$A$2:$X$333,2,0)&amp;""</f>
        <v>Country of Company Headquarters</v>
      </c>
      <c r="C16" s="76" t="str">
        <f>VLOOKUP($A16,'START HERE'!$A$13:$C$21,3,0)&amp;""</f>
        <v>UK</v>
      </c>
      <c r="D16" s="32"/>
      <c r="E16" s="32"/>
      <c r="F16" s="50"/>
      <c r="I16" s="35"/>
      <c r="J16" s="35"/>
    </row>
    <row r="17" spans="1:10" s="1" customFormat="1" ht="37.5" customHeight="1" thickBot="1" x14ac:dyDescent="0.3">
      <c r="A17" s="63" t="str">
        <f>VLOOKUP(LEFT($A18,4),'Auto Responses'!$N$4:$O$38,2,0)&amp;""</f>
        <v xml:space="preserve"> Required Questions</v>
      </c>
      <c r="B17" s="22"/>
      <c r="C17" s="13" t="s">
        <v>21</v>
      </c>
      <c r="D17" s="13"/>
      <c r="E17" s="31" t="s">
        <v>23</v>
      </c>
      <c r="F17" s="183" t="s">
        <v>24</v>
      </c>
      <c r="I17" s="35"/>
      <c r="J17" s="35"/>
    </row>
    <row r="18" spans="1:10" s="1" customFormat="1" ht="135.5" thickBot="1" x14ac:dyDescent="0.3">
      <c r="A18" s="19" t="s">
        <v>37</v>
      </c>
      <c r="B18" s="18" t="str">
        <f>VLOOKUP($A18,Questions!$A$2:$X$333,2,0)</f>
        <v>Are you offering a cloud-based product?</v>
      </c>
      <c r="C18" s="73" t="str">
        <f>VLOOKUP($A18,'START HERE'!$A$23:$F$36,3,0)&amp;""</f>
        <v>Yes</v>
      </c>
      <c r="D18" s="311" t="str">
        <f>VLOOKUP($A18,'START HERE'!$A$23:$F$36,4,0)&amp;""</f>
        <v>Preservica is delivered as a cloud-based, commercial-off-the-shelf product under a Software as a Service model, hosted on third-party cloud infrastructure — Amazon Web Services or Microsoft Azure, depending on the institution's configuration. Preservica does not operate its own data centres. Professional Services are available in addition, to support institutions in adopting the product. The division of responsibilities between Preservica and the institution is set out in Preservica's Shared Responsibility Model, published at https://website-assets.preservica.com/production/resources/Shared-Responsibility-Model-Global-v1.1.pdf.</v>
      </c>
      <c r="E18" s="163" t="str">
        <f>IF($C18='Auto Responses'!$J$3,VLOOKUP($A18,Questions!$A$2:$X$333,17,0)&amp;"",IF($C18='Auto Responses'!$J$4,VLOOKUP($A18,Questions!$A$2:$X$333,16,0)&amp;"",VLOOKUP($A18,Questions!$A$2:$X$333,15,0)&amp;""))</f>
        <v>DO complete the Product and Infrastructure worksheets</v>
      </c>
      <c r="F18" s="197" t="str">
        <f>VLOOKUP($A18,'Institution Evaluation'!$A$56:$F$345,6,0)&amp;""</f>
        <v/>
      </c>
      <c r="G18" s="234" t="s">
        <v>36</v>
      </c>
      <c r="I18" s="35"/>
      <c r="J18" s="35"/>
    </row>
    <row r="19" spans="1:10" s="1" customFormat="1" ht="37.5" customHeight="1" thickBot="1" x14ac:dyDescent="0.3">
      <c r="A19" s="63" t="str">
        <f>VLOOKUP(LEFT($A20,4),'Auto Responses'!$N$4:$O$38,2,0)&amp;""</f>
        <v xml:space="preserve"> Application/Service Security</v>
      </c>
      <c r="B19" s="22"/>
      <c r="C19" s="13" t="s">
        <v>21</v>
      </c>
      <c r="D19" s="13" t="s">
        <v>22</v>
      </c>
      <c r="E19" s="31" t="s">
        <v>23</v>
      </c>
      <c r="F19" s="183" t="s">
        <v>24</v>
      </c>
      <c r="I19" s="35"/>
      <c r="J19" s="35"/>
    </row>
    <row r="20" spans="1:10" s="1" customFormat="1" ht="202.5" x14ac:dyDescent="0.25">
      <c r="A20" s="19" t="s">
        <v>220</v>
      </c>
      <c r="B20" s="18" t="str">
        <f>VLOOKUP($A20,Questions!$A$2:$X$333,2,0)</f>
        <v>Are access controls for institutional accounts based on structured rules, such as role-based access control (RBAC), attribute-based access control (ABAC), or policy-based access control (PBAC)?*</v>
      </c>
      <c r="C20" s="21" t="s">
        <v>26</v>
      </c>
      <c r="D20" s="312" t="s">
        <v>221</v>
      </c>
      <c r="E20" s="163" t="str">
        <f>IF($C$18='Auto Responses'!$J$4,'Auto Responses'!$A$3,IF($C20='Auto Responses'!$J$3,VLOOKUP($A20,Questions!$A$2:$X$333,17,0)&amp;"",IF($C20='Auto Responses'!$J$4,VLOOKUP($A20,Questions!$A$2:$X$333,16,0)&amp;"",VLOOKUP($A20,Questions!$A$2:$X$333,15,0)&amp;"")))</f>
        <v>Describe available roles.</v>
      </c>
      <c r="F20" s="197" t="str">
        <f>VLOOKUP($A20,'Institution Evaluation'!$A$56:$F$345,6,0)&amp;""</f>
        <v/>
      </c>
      <c r="I20" s="35"/>
      <c r="J20" s="35"/>
    </row>
    <row r="21" spans="1:10" s="1" customFormat="1" ht="94.5" x14ac:dyDescent="0.25">
      <c r="A21" s="19" t="s">
        <v>222</v>
      </c>
      <c r="B21" s="18" t="str">
        <f>VLOOKUP($A21,Questions!$A$2:$X$333,2,0)</f>
        <v>Are you using a web application firewall (WAF)?*</v>
      </c>
      <c r="C21" s="21" t="s">
        <v>26</v>
      </c>
      <c r="D21" s="312" t="s">
        <v>223</v>
      </c>
      <c r="E21" s="163" t="str">
        <f>IF($C$18='Auto Responses'!$J$4,'Auto Responses'!$A$3,IF($C21='Auto Responses'!$J$3,VLOOKUP($A21,Questions!$A$2:$X$333,17,0)&amp;"",IF($C21='Auto Responses'!$J$4,VLOOKUP($A21,Questions!$A$2:$X$333,16,0)&amp;"",VLOOKUP($A21,Questions!$A$2:$X$333,15,0)&amp;"")))</f>
        <v>Describe the currently implemented WAF.</v>
      </c>
      <c r="F21" s="197" t="str">
        <f>VLOOKUP($A21,'Institution Evaluation'!$A$56:$F$345,6,0)&amp;""</f>
        <v/>
      </c>
      <c r="I21" s="35"/>
      <c r="J21" s="35"/>
    </row>
    <row r="22" spans="1:10" s="1" customFormat="1" ht="202.5" x14ac:dyDescent="0.25">
      <c r="A22" s="19" t="s">
        <v>224</v>
      </c>
      <c r="B22" s="18" t="str">
        <f>VLOOKUP($A22,Questions!$A$2:$X$333,2,0)</f>
        <v>Are only currently supported operating system(s), software, and libraries leveraged by the system(s)/application(s) that will have access to institution's data?*</v>
      </c>
      <c r="C22" s="21" t="s">
        <v>26</v>
      </c>
      <c r="D22" s="312" t="s">
        <v>225</v>
      </c>
      <c r="E22" s="163" t="str">
        <f>IF($C$18='Auto Responses'!$J$4,'Auto Responses'!$A$3,IF($C22='Auto Responses'!$J$3,VLOOKUP($A22,Questions!$A$2:$X$333,17,0)&amp;"",IF($C22='Auto Responses'!$J$4,VLOOKUP($A22,Questions!$A$2:$X$333,16,0)&amp;"",VLOOKUP($A22,Questions!$A$2:$X$333,15,0)&amp;"")))</f>
        <v>Please provide a list of all required dependencies.</v>
      </c>
      <c r="F22" s="197" t="str">
        <f>VLOOKUP($A22,'Institution Evaluation'!$A$56:$F$345,6,0)&amp;""</f>
        <v/>
      </c>
      <c r="I22" s="35"/>
      <c r="J22" s="35"/>
    </row>
    <row r="23" spans="1:10" s="1" customFormat="1" ht="27" x14ac:dyDescent="0.25">
      <c r="A23" s="19" t="s">
        <v>226</v>
      </c>
      <c r="B23" s="18" t="str">
        <f>VLOOKUP($A23,Questions!$A$2:$X$333,2,0)</f>
        <v>Does your application require access to location or GPS data?*</v>
      </c>
      <c r="C23" s="21" t="s">
        <v>46</v>
      </c>
      <c r="D23" s="312" t="s">
        <v>227</v>
      </c>
      <c r="E23" s="163" t="str">
        <f>IF($C$18='Auto Responses'!$J$4,'Auto Responses'!$A$3,IF($C23='Auto Responses'!$J$3,VLOOKUP($A23,Questions!$A$2:$X$333,17,0)&amp;"",IF($C23='Auto Responses'!$J$4,VLOOKUP($A23,Questions!$A$2:$X$333,16,0)&amp;"",VLOOKUP($A23,Questions!$A$2:$X$333,15,0)&amp;"")))</f>
        <v>Please indicate any future plans that would require access to this data</v>
      </c>
      <c r="F23" s="197" t="str">
        <f>VLOOKUP($A23,'Institution Evaluation'!$A$56:$F$345,6,0)&amp;""</f>
        <v/>
      </c>
      <c r="I23" s="35"/>
      <c r="J23" s="35"/>
    </row>
    <row r="24" spans="1:10" s="1" customFormat="1" ht="202.5" x14ac:dyDescent="0.25">
      <c r="A24" s="19" t="s">
        <v>228</v>
      </c>
      <c r="B24" s="18" t="str">
        <f>VLOOKUP($A24,Questions!$A$2:$X$333,2,0)</f>
        <v>Does your application provide separation of duties between security administration, system administration, and standard user functions?*</v>
      </c>
      <c r="C24" s="21" t="s">
        <v>26</v>
      </c>
      <c r="D24" s="312" t="s">
        <v>229</v>
      </c>
      <c r="E24" s="163" t="str">
        <f>IF($C$18='Auto Responses'!$J$4,'Auto Responses'!$A$3,IF($C24='Auto Responses'!$J$3,VLOOKUP($A24,Questions!$A$2:$X$333,17,0)&amp;"",IF($C24='Auto Responses'!$J$4,VLOOKUP($A24,Questions!$A$2:$X$333,16,0)&amp;"",VLOOKUP($A24,Questions!$A$2:$X$333,15,0)&amp;"")))</f>
        <v>Describe or provide a reference to the facilities available in the system to provide separation of duties between security administration and system administration functions.</v>
      </c>
      <c r="F24" s="197" t="str">
        <f>VLOOKUP($A24,'Institution Evaluation'!$A$56:$F$345,6,0)&amp;""</f>
        <v/>
      </c>
      <c r="I24" s="35"/>
      <c r="J24" s="35"/>
    </row>
    <row r="25" spans="1:10" s="1" customFormat="1" ht="135" x14ac:dyDescent="0.25">
      <c r="A25" s="19" t="s">
        <v>230</v>
      </c>
      <c r="B25" s="18" t="str">
        <f>VLOOKUP($A25,Questions!$A$2:$X$333,2,0)</f>
        <v>Do you subject your code to static code analysis and/or static application security testing prior to release?*</v>
      </c>
      <c r="C25" s="21" t="s">
        <v>26</v>
      </c>
      <c r="D25" s="312" t="s">
        <v>2147</v>
      </c>
      <c r="E25" s="163" t="str">
        <f>IF($C$18='Auto Responses'!$J$4,'Auto Responses'!$A$3,IF($C25='Auto Responses'!$J$3,VLOOKUP($A25,Questions!$A$2:$X$333,17,0)&amp;"",IF($C25='Auto Responses'!$J$4,VLOOKUP($A25,Questions!$A$2:$X$333,16,0)&amp;"",VLOOKUP($A25,Questions!$A$2:$X$333,15,0)&amp;"")))</f>
        <v>Provide a list of all tools utilized during static code analysis or static application security testing.</v>
      </c>
      <c r="F25" s="197" t="str">
        <f>VLOOKUP($A25,'Institution Evaluation'!$A$56:$F$345,6,0)&amp;""</f>
        <v/>
      </c>
      <c r="I25" s="35"/>
      <c r="J25" s="35"/>
    </row>
    <row r="26" spans="1:10" s="1" customFormat="1" ht="229.5" x14ac:dyDescent="0.25">
      <c r="A26" s="19" t="s">
        <v>231</v>
      </c>
      <c r="B26" s="18" t="str">
        <f>VLOOKUP($A26,Questions!$A$2:$X$333,2,0)</f>
        <v>Do you have software testing processes (dynamic or static) that are established and followed?*</v>
      </c>
      <c r="C26" s="21" t="s">
        <v>26</v>
      </c>
      <c r="D26" s="368" t="s">
        <v>2148</v>
      </c>
      <c r="E26" s="163" t="str">
        <f>IF($C$18='Auto Responses'!$J$4,'Auto Responses'!$A$3,IF($C26='Auto Responses'!$J$3,VLOOKUP($A26,Questions!$A$2:$X$333,17,0)&amp;"",IF($C26='Auto Responses'!$J$4,VLOOKUP($A26,Questions!$A$2:$X$333,16,0)&amp;"",VLOOKUP($A26,Questions!$A$2:$X$333,15,0)&amp;"")))</f>
        <v>Describe testing processes, including but not limited to, development of test plans, personnel involved in the testing process, and authorized individual accountable for approval and certification of test results.</v>
      </c>
      <c r="F26" s="197" t="str">
        <f>VLOOKUP($A26,'Institution Evaluation'!$A$56:$F$345,6,0)&amp;""</f>
        <v/>
      </c>
      <c r="I26" s="35"/>
      <c r="J26" s="35"/>
    </row>
    <row r="27" spans="1:10" s="1" customFormat="1" ht="162" x14ac:dyDescent="0.25">
      <c r="A27" s="19" t="s">
        <v>232</v>
      </c>
      <c r="B27" s="18" t="str">
        <f>VLOOKUP($A27,Questions!$A$2:$X$333,2,0)</f>
        <v>Are access controls for staff within your organization based on structured rules, such as RBAC, ABAC, or PBAC?</v>
      </c>
      <c r="C27" s="21" t="s">
        <v>26</v>
      </c>
      <c r="D27" s="368" t="s">
        <v>233</v>
      </c>
      <c r="E27" s="163" t="str">
        <f>IF($C$18='Auto Responses'!$J$4,'Auto Responses'!$A$3,IF($C27='Auto Responses'!$J$3,VLOOKUP($A27,Questions!$A$2:$X$333,17,0)&amp;"",IF($C27='Auto Responses'!$J$4,VLOOKUP($A27,Questions!$A$2:$X$333,16,0)&amp;"",VLOOKUP($A27,Questions!$A$2:$X$333,15,0)&amp;"")))</f>
        <v>This includes system administrators and third-party personnel with access to the system. PBAC would include various dynamic controls such as conditional access, risk-based access, location-based access, or system activity–based access.</v>
      </c>
      <c r="F27" s="197" t="str">
        <f>VLOOKUP($A27,'Institution Evaluation'!$A$56:$F$345,6,0)&amp;""</f>
        <v/>
      </c>
      <c r="I27" s="35"/>
      <c r="J27" s="35"/>
    </row>
    <row r="28" spans="1:10" s="1" customFormat="1" ht="148.5" x14ac:dyDescent="0.25">
      <c r="A28" s="19" t="s">
        <v>234</v>
      </c>
      <c r="B28" s="18" t="str">
        <f>VLOOKUP($A28,Questions!$A$2:$X$333,2,0)</f>
        <v>Does the system provide data input validation and error messages?</v>
      </c>
      <c r="C28" s="21" t="s">
        <v>26</v>
      </c>
      <c r="D28" s="312" t="s">
        <v>235</v>
      </c>
      <c r="E28" s="163" t="str">
        <f>IF($C$18='Auto Responses'!$J$4,'Auto Responses'!$A$3,IF($C28='Auto Responses'!$J$3,VLOOKUP($A28,Questions!$A$2:$X$333,17,0)&amp;"",IF($C28='Auto Responses'!$J$4,VLOOKUP($A28,Questions!$A$2:$X$333,16,0)&amp;"",VLOOKUP($A28,Questions!$A$2:$X$333,15,0)&amp;"")))</f>
        <v>Describe how your system(s) provide data input validation and error messages.</v>
      </c>
      <c r="F28" s="197" t="str">
        <f>VLOOKUP($A28,'Institution Evaluation'!$A$56:$F$345,6,0)&amp;""</f>
        <v/>
      </c>
      <c r="I28" s="35"/>
      <c r="J28" s="35"/>
    </row>
    <row r="29" spans="1:10" s="1" customFormat="1" ht="270" x14ac:dyDescent="0.25">
      <c r="A29" s="19" t="s">
        <v>236</v>
      </c>
      <c r="B29" s="18" t="str">
        <f>VLOOKUP($A29,Questions!$A$2:$X$333,2,0)</f>
        <v>Do you have a process and implemented procedures for managing your software supply chain (e.g., libraries, repositories, frameworks, etc.)?</v>
      </c>
      <c r="C29" s="21" t="s">
        <v>26</v>
      </c>
      <c r="D29" s="312" t="s">
        <v>237</v>
      </c>
      <c r="E29" s="163" t="str">
        <f>IF($C$18='Auto Responses'!$J$4,'Auto Responses'!$A$3,IF($C29='Auto Responses'!$J$3,VLOOKUP($A29,Questions!$A$2:$X$333,17,0)&amp;"",IF($C29='Auto Responses'!$J$4,VLOOKUP($A29,Questions!$A$2:$X$333,16,0)&amp;"",VLOOKUP($A29,Questions!$A$2:$X$333,15,0)&amp;"")))</f>
        <v>Provide supporting documentation of your processes.</v>
      </c>
      <c r="F29" s="197" t="str">
        <f>VLOOKUP($A29,'Institution Evaluation'!$A$56:$F$345,6,0)&amp;""</f>
        <v/>
      </c>
      <c r="I29" s="35"/>
      <c r="J29" s="35"/>
    </row>
    <row r="30" spans="1:10" s="1" customFormat="1" ht="175.5" x14ac:dyDescent="0.25">
      <c r="A30" s="19" t="s">
        <v>238</v>
      </c>
      <c r="B30" s="18" t="str">
        <f>VLOOKUP($A30,Questions!$A$2:$X$333,2,0)</f>
        <v>Have your developers been trained in secure coding techniques?</v>
      </c>
      <c r="C30" s="21" t="s">
        <v>26</v>
      </c>
      <c r="D30" s="312" t="s">
        <v>239</v>
      </c>
      <c r="E30" s="163" t="str">
        <f>IF($C$18='Auto Responses'!$J$4,'Auto Responses'!$A$3,IF($C30='Auto Responses'!$J$3,VLOOKUP($A30,Questions!$A$2:$X$333,17,0)&amp;"",IF($C30='Auto Responses'!$J$4,VLOOKUP($A30,Questions!$A$2:$X$333,16,0)&amp;"",VLOOKUP($A30,Questions!$A$2:$X$333,15,0)&amp;"")))</f>
        <v>Summarize your secure coding training.</v>
      </c>
      <c r="F30" s="197" t="str">
        <f>VLOOKUP($A30,'Institution Evaluation'!$A$56:$F$345,6,0)&amp;""</f>
        <v/>
      </c>
      <c r="I30" s="35"/>
      <c r="J30" s="35"/>
    </row>
    <row r="31" spans="1:10" s="1" customFormat="1" ht="229.5" x14ac:dyDescent="0.25">
      <c r="A31" s="19" t="s">
        <v>240</v>
      </c>
      <c r="B31" s="18" t="str">
        <f>VLOOKUP($A31,Questions!$A$2:$X$333,2,0)</f>
        <v>Was your application developed using secure coding techniques?</v>
      </c>
      <c r="C31" s="21" t="s">
        <v>26</v>
      </c>
      <c r="D31" s="313" t="s">
        <v>241</v>
      </c>
      <c r="E31" s="163" t="str">
        <f>IF($C$18='Auto Responses'!$J$4,'Auto Responses'!$A$3,IF($C31='Auto Responses'!$J$3,VLOOKUP($A31,Questions!$A$2:$X$333,17,0)&amp;"",IF($C31='Auto Responses'!$J$4,VLOOKUP($A31,Questions!$A$2:$X$333,16,0)&amp;"",VLOOKUP($A31,Questions!$A$2:$X$333,15,0)&amp;"")))</f>
        <v>Summarize your secure coding practices.</v>
      </c>
      <c r="F31" s="197" t="str">
        <f>VLOOKUP($A31,'Institution Evaluation'!$A$56:$F$345,6,0)&amp;""</f>
        <v/>
      </c>
      <c r="I31" s="35"/>
      <c r="J31" s="35"/>
    </row>
    <row r="32" spans="1:10" s="1" customFormat="1" ht="40.5" x14ac:dyDescent="0.25">
      <c r="A32" s="19" t="s">
        <v>242</v>
      </c>
      <c r="B32" s="18" t="str">
        <f>VLOOKUP($A32,Questions!$A$2:$X$333,2,0)</f>
        <v>If mobile, is the application available from a trusted source (e.g., App Store, Google Play Store)?</v>
      </c>
      <c r="C32" s="21" t="s">
        <v>243</v>
      </c>
      <c r="D32" s="313" t="s">
        <v>244</v>
      </c>
      <c r="E32" s="163" t="str">
        <f>IF($C$18='Auto Responses'!$J$4,'Auto Responses'!$A$3,IF($C32='Auto Responses'!$J$3,VLOOKUP($A32,Questions!$A$2:$X$333,17,0)&amp;"",IF($C32='Auto Responses'!$J$4,VLOOKUP($A32,Questions!$A$2:$X$333,16,0)&amp;"",IF($C32='Auto Responses'!$J$5,VLOOKUP($A32,Questions!$A$2:$X$333,18,0)&amp;"",VLOOKUP($A32,Questions!$A$2:$X$333,15,0)&amp;""))))</f>
        <v>Please explain why this does not apply to your product or service.</v>
      </c>
      <c r="F32" s="197" t="str">
        <f>VLOOKUP($A32,'Institution Evaluation'!$A$56:$F$345,6,0)&amp;""</f>
        <v/>
      </c>
      <c r="I32" s="35"/>
      <c r="J32" s="35"/>
    </row>
    <row r="33" spans="1:10" s="1" customFormat="1" ht="297.5" thickBot="1" x14ac:dyDescent="0.3">
      <c r="A33" s="19" t="s">
        <v>245</v>
      </c>
      <c r="B33" s="18" t="str">
        <f>VLOOKUP($A33,Questions!$A$2:$X$333,2,0)</f>
        <v>Do you have a fully implemented policy or procedure that details how your employees obtain administrator access to institutional instance of the application?</v>
      </c>
      <c r="C33" s="21" t="s">
        <v>26</v>
      </c>
      <c r="D33" s="313" t="s">
        <v>246</v>
      </c>
      <c r="E33" s="163" t="str">
        <f>IF($C$18='Auto Responses'!$J$4,'Auto Responses'!$A$3,IF($C33='Auto Responses'!$J$3,VLOOKUP($A33,Questions!$A$2:$X$333,17,0)&amp;"",IF($C33='Auto Responses'!$J$4,VLOOKUP($A33,Questions!$A$2:$X$333,16,0)&amp;"",VLOOKUP($A33,Questions!$A$2:$X$333,15,0)&amp;"")))</f>
        <v>Describe or provide a reference that details how administrator access is handled (e.g., provisioning, principle of least privilege, deprovisioning, etc.).</v>
      </c>
      <c r="F33" s="197" t="str">
        <f>VLOOKUP($A33,'Institution Evaluation'!$A$56:$F$345,6,0)&amp;""</f>
        <v/>
      </c>
      <c r="G33" s="234" t="s">
        <v>36</v>
      </c>
      <c r="I33" s="35"/>
      <c r="J33" s="35"/>
    </row>
    <row r="34" spans="1:10" s="1" customFormat="1" ht="37.5" customHeight="1" thickBot="1" x14ac:dyDescent="0.3">
      <c r="A34" s="63" t="str">
        <f>VLOOKUP(LEFT($A35,4),'Auto Responses'!$N$4:$O$38,2,0)&amp;""</f>
        <v xml:space="preserve"> Datacenter</v>
      </c>
      <c r="B34" s="22"/>
      <c r="C34" s="13" t="s">
        <v>21</v>
      </c>
      <c r="D34" s="13" t="s">
        <v>22</v>
      </c>
      <c r="E34" s="31" t="s">
        <v>23</v>
      </c>
      <c r="F34" s="183" t="s">
        <v>24</v>
      </c>
      <c r="I34" s="35"/>
      <c r="J34" s="35"/>
    </row>
    <row r="35" spans="1:10" s="1" customFormat="1" ht="148.5" x14ac:dyDescent="0.25">
      <c r="A35" s="19" t="s">
        <v>247</v>
      </c>
      <c r="B35" s="18" t="str">
        <f>VLOOKUP($A35,Questions!$A$2:$X$333,2,0)</f>
        <v>Select your hosting option.</v>
      </c>
      <c r="C35" s="74" t="s">
        <v>248</v>
      </c>
      <c r="D35" s="313" t="s">
        <v>2153</v>
      </c>
      <c r="E35" s="163" t="str">
        <f>IF(OR($C35="",$C35="Other"),VLOOKUP($A35,Questions!$A$2:$X$333,15,0),"")&amp;""</f>
        <v/>
      </c>
      <c r="F35" s="197" t="str">
        <f>VLOOKUP($A35,'Institution Evaluation'!$A$56:$F$345,6,0)&amp;""</f>
        <v/>
      </c>
      <c r="I35" s="35"/>
      <c r="J35" s="35"/>
    </row>
    <row r="36" spans="1:10" s="1" customFormat="1" ht="53.25" customHeight="1" x14ac:dyDescent="0.25">
      <c r="A36" s="19" t="s">
        <v>249</v>
      </c>
      <c r="B36" s="18" t="str">
        <f>VLOOKUP($A36,Questions!$A$2:$X$333,2,0)</f>
        <v>Is a SOC 2 Type 2 report available for the hosting environment?</v>
      </c>
      <c r="C36" s="21"/>
      <c r="D36" s="313"/>
      <c r="E36" s="163" t="str">
        <f>IF($C$35="","",IF(OR($C$35='Auto Responses'!$J$20,$C$35='Auto Responses'!$J$21,$C$35='Auto Responses'!$J$22),'Auto Responses'!$A$26,IF($C36='Auto Responses'!$J$3,VLOOKUP($A36,Questions!$A$2:$X$333,17,0)&amp;"",IF($C36='Auto Responses'!$J$4,VLOOKUP($A36,Questions!$A$2:$X$333,16,0)&amp;"",VLOOKUP($A36,Questions!$A$2:$X$333,15,0)&amp;""))))</f>
        <v>Based on the response to DCTR-01, this question does not apply to this product or service.</v>
      </c>
      <c r="F36" s="197" t="str">
        <f>VLOOKUP($A36,'Institution Evaluation'!$A$56:$F$345,6,0)&amp;""</f>
        <v/>
      </c>
      <c r="I36" s="35"/>
      <c r="J36" s="35"/>
    </row>
    <row r="37" spans="1:10" s="1" customFormat="1" ht="135" x14ac:dyDescent="0.25">
      <c r="A37" s="19" t="s">
        <v>250</v>
      </c>
      <c r="B37" s="18" t="str">
        <f>VLOOKUP($A37,Questions!$A$2:$X$333,2,0)</f>
        <v>Are you generally able to accommodate storing each institution's data within its geographic region?</v>
      </c>
      <c r="C37" s="21" t="s">
        <v>26</v>
      </c>
      <c r="D37" s="313" t="s">
        <v>251</v>
      </c>
      <c r="E37" s="163" t="str">
        <f>IF($C$35="","",IF($C37='Auto Responses'!$J$3,VLOOKUP($A37,Questions!$A$2:$X$333,17,0)&amp;"",IF($C37='Auto Responses'!$J$4,VLOOKUP($A37,Questions!$A$2:$X$333,16,0)&amp;"",VLOOKUP($A37,Questions!$A$2:$X$333,15,0)&amp;"")))</f>
        <v>Please indicate which geographic regions you can provide storage in the Additional Info column.</v>
      </c>
      <c r="F37" s="197" t="str">
        <f>VLOOKUP($A37,'Institution Evaluation'!$A$56:$F$345,6,0)&amp;""</f>
        <v/>
      </c>
      <c r="I37" s="35"/>
      <c r="J37" s="35"/>
    </row>
    <row r="38" spans="1:10" s="1" customFormat="1" ht="53.25" customHeight="1" x14ac:dyDescent="0.25">
      <c r="A38" s="19" t="s">
        <v>252</v>
      </c>
      <c r="B38" s="18" t="str">
        <f>VLOOKUP($A38,Questions!$A$2:$X$333,2,0)</f>
        <v>Are the data centers staffed 24 hours a day, seven days a week (i.e., 24 x 7 x 365)?</v>
      </c>
      <c r="C38" s="21"/>
      <c r="D38" s="313"/>
      <c r="E38" s="163" t="str">
        <f>IF($C$35="","",IF(OR($C$35='Auto Responses'!$J$20,$C$35='Auto Responses'!$J$21,$C$35='Auto Responses'!$J$22),'Auto Responses'!$A$26,IF($C38='Auto Responses'!$J$3,VLOOKUP($A38,Questions!$A$2:$X$333,17,0)&amp;"",IF($C38='Auto Responses'!$J$4,VLOOKUP($A38,Questions!$A$2:$X$333,16,0)&amp;"",VLOOKUP($A38,Questions!$A$2:$X$333,15,0)&amp;""))))</f>
        <v>Based on the response to DCTR-01, this question does not apply to this product or service.</v>
      </c>
      <c r="F38" s="197" t="str">
        <f>VLOOKUP($A38,'Institution Evaluation'!$A$56:$F$345,6,0)&amp;""</f>
        <v/>
      </c>
      <c r="I38" s="35"/>
      <c r="J38" s="35"/>
    </row>
    <row r="39" spans="1:10" s="1" customFormat="1" ht="55.5" customHeight="1" x14ac:dyDescent="0.25">
      <c r="A39" s="19" t="s">
        <v>253</v>
      </c>
      <c r="B39" s="18" t="str">
        <f>VLOOKUP($A39,Questions!$A$2:$X$333,2,0)</f>
        <v>Are your servers separated from other companies via a physical barrier, such as a cage or hard walls?</v>
      </c>
      <c r="C39" s="21"/>
      <c r="D39" s="313"/>
      <c r="E39" s="163" t="str">
        <f>IF($C$35="","",IF(OR($C$35='Auto Responses'!$J$17,$C$35='Auto Responses'!$J$19,$C$35='Auto Responses'!$J$20,$C$35='Auto Responses'!$J$21,$C$35='Auto Responses'!$J$22),'Auto Responses'!$A$26,IF($C39='Auto Responses'!$J$3,VLOOKUP($A39,Questions!$A$2:$X$333,17,0)&amp;"",IF($C39='Auto Responses'!$J$4,VLOOKUP($A39,Questions!$A$2:$X$333,16,0)&amp;"",VLOOKUP($A39,Questions!$A$2:$X$333,15,0)&amp;""))))</f>
        <v>Based on the response to DCTR-01, this question does not apply to this product or service.</v>
      </c>
      <c r="F39" s="197" t="str">
        <f>VLOOKUP($A39,'Institution Evaluation'!$A$56:$F$345,6,0)&amp;""</f>
        <v/>
      </c>
      <c r="I39" s="35"/>
      <c r="J39" s="35"/>
    </row>
    <row r="40" spans="1:10" s="1" customFormat="1" ht="56.25" customHeight="1" x14ac:dyDescent="0.25">
      <c r="A40" s="19" t="s">
        <v>254</v>
      </c>
      <c r="B40" s="18" t="str">
        <f>VLOOKUP($A40,Questions!$A$2:$X$333,2,0)</f>
        <v>Does a physical barrier fully enclose the physical space, preventing unauthorized physical contact with any of your devices?*</v>
      </c>
      <c r="C40" s="21"/>
      <c r="D40" s="313"/>
      <c r="E40" s="163" t="str">
        <f>IF($C$35="","",IF(OR($C$35='Auto Responses'!$J$19,$C$35='Auto Responses'!$J$20,$C$35='Auto Responses'!$J$21,$C$35='Auto Responses'!$J$22),'Auto Responses'!$A$26,IF($C40='Auto Responses'!$J$3,VLOOKUP($A40,Questions!$A$2:$X$333,17,0)&amp;"",IF($C40='Auto Responses'!$J$4,VLOOKUP($A40,Questions!$A$2:$X$333,16,0)&amp;"",VLOOKUP($A40,Questions!$A$2:$X$333,15,0)&amp;""))))</f>
        <v>Based on the response to DCTR-01, this question does not apply to this product or service.</v>
      </c>
      <c r="F40" s="197" t="str">
        <f>VLOOKUP($A40,'Institution Evaluation'!$A$56:$F$345,6,0)&amp;""</f>
        <v/>
      </c>
      <c r="I40" s="35"/>
      <c r="J40" s="35"/>
    </row>
    <row r="41" spans="1:10" s="1" customFormat="1" ht="189" x14ac:dyDescent="0.25">
      <c r="A41" s="19" t="s">
        <v>255</v>
      </c>
      <c r="B41" s="18" t="str">
        <f>VLOOKUP($A41,Questions!$A$2:$X$333,2,0)</f>
        <v>Are your primary and secondary data centers geographically diverse?</v>
      </c>
      <c r="C41" s="21" t="s">
        <v>46</v>
      </c>
      <c r="D41" s="313" t="s">
        <v>256</v>
      </c>
      <c r="E41" s="163" t="str">
        <f>IF($C$35="","",IF($C41='Auto Responses'!$J$3,VLOOKUP($A41,Questions!$A$2:$X$333,17,0)&amp;"",IF($C41='Auto Responses'!$J$4,VLOOKUP($A41,Questions!$A$2:$X$333,16,0)&amp;"",VLOOKUP($A41,Questions!$A$2:$X$333,15,0)&amp;"")))</f>
        <v>Describe any plans to implement.</v>
      </c>
      <c r="F41" s="197" t="str">
        <f>VLOOKUP($A41,'Institution Evaluation'!$A$56:$F$345,6,0)&amp;""</f>
        <v/>
      </c>
      <c r="I41" s="35"/>
      <c r="J41" s="35"/>
    </row>
    <row r="42" spans="1:10" s="1" customFormat="1" ht="216" x14ac:dyDescent="0.25">
      <c r="A42" s="19" t="s">
        <v>257</v>
      </c>
      <c r="B42" s="18" t="str">
        <f>VLOOKUP($A42,Questions!$A$2:$X$333,2,0)</f>
        <v>Is the service hosted in a high-availability environment?</v>
      </c>
      <c r="C42" s="21" t="s">
        <v>46</v>
      </c>
      <c r="D42" s="313" t="s">
        <v>258</v>
      </c>
      <c r="E42" s="163" t="str">
        <f>IF($C$35="","",IF($C42='Auto Responses'!$J$3,VLOOKUP($A42,Questions!$A$2:$X$333,17,0)&amp;"",IF($C42='Auto Responses'!$J$4,VLOOKUP($A42,Questions!$A$2:$X$333,16,0)&amp;"",VLOOKUP($A42,Questions!$A$2:$X$333,15,0)&amp;"")))</f>
        <v>Describe any plans to implement a high-availability environment for your systems.</v>
      </c>
      <c r="F42" s="197" t="str">
        <f>VLOOKUP($A42,'Institution Evaluation'!$A$56:$F$345,6,0)&amp;""</f>
        <v/>
      </c>
      <c r="I42" s="35"/>
      <c r="J42" s="35"/>
    </row>
    <row r="43" spans="1:10" s="1" customFormat="1" ht="55.5" customHeight="1" x14ac:dyDescent="0.25">
      <c r="A43" s="19" t="s">
        <v>259</v>
      </c>
      <c r="B43" s="18" t="str">
        <f>VLOOKUP($A43,Questions!$A$2:$X$333,2,0)</f>
        <v>Is redundant power available for all data centers where institutional data will reside?</v>
      </c>
      <c r="C43" s="21"/>
      <c r="D43" s="313"/>
      <c r="E43" s="163" t="str">
        <f>IF($C$35="","",IF(OR($C$35='Auto Responses'!$J$20,$C$35='Auto Responses'!$J$21,$C$35='Auto Responses'!$J$22),'Auto Responses'!$A$26,IF($C43='Auto Responses'!$J$3,VLOOKUP($A43,Questions!$A$2:$X$333,17,0)&amp;"",IF($C43='Auto Responses'!$J$4,VLOOKUP($A43,Questions!$A$2:$X$333,16,0)&amp;"",VLOOKUP($A43,Questions!$A$2:$X$333,15,0)&amp;""))))</f>
        <v>Based on the response to DCTR-01, this question does not apply to this product or service.</v>
      </c>
      <c r="F43" s="197" t="str">
        <f>VLOOKUP($A43,'Institution Evaluation'!$A$56:$F$345,6,0)&amp;""</f>
        <v/>
      </c>
      <c r="I43" s="35"/>
      <c r="J43" s="35"/>
    </row>
    <row r="44" spans="1:10" s="1" customFormat="1" ht="56.25" customHeight="1" x14ac:dyDescent="0.25">
      <c r="A44" s="19" t="s">
        <v>260</v>
      </c>
      <c r="B44" s="18" t="str">
        <f>VLOOKUP($A44,Questions!$A$2:$X$333,2,0)</f>
        <v>Are redundant power strategies tested?*</v>
      </c>
      <c r="C44" s="21"/>
      <c r="D44" s="313"/>
      <c r="E44" s="163" t="str">
        <f>IF($C$35="","",IF(OR($C$35='Auto Responses'!$J$20,$C$35='Auto Responses'!$J$21,$C$35='Auto Responses'!$J$22),'Auto Responses'!$A$26,IF($C44='Auto Responses'!$J$3,VLOOKUP($A44,Questions!$A$2:$X$333,17,0)&amp;"",IF($C44='Auto Responses'!$J$4,VLOOKUP($A44,Questions!$A$2:$X$333,16,0)&amp;"",VLOOKUP($A44,Questions!$A$2:$X$333,15,0)&amp;""))))</f>
        <v>Based on the response to DCTR-01, this question does not apply to this product or service.</v>
      </c>
      <c r="F44" s="197" t="str">
        <f>VLOOKUP($A44,'Institution Evaluation'!$A$56:$F$345,6,0)&amp;""</f>
        <v/>
      </c>
      <c r="I44" s="35"/>
      <c r="J44" s="35"/>
    </row>
    <row r="45" spans="1:10" s="1" customFormat="1" ht="60" customHeight="1" x14ac:dyDescent="0.25">
      <c r="A45" s="19" t="s">
        <v>261</v>
      </c>
      <c r="B45" s="18" t="str">
        <f>VLOOKUP($A45,Questions!$A$2:$X$333,2,0)</f>
        <v>Does the center where the data will reside have cooling and fire-suppression systems that are active and regularly tested?</v>
      </c>
      <c r="C45" s="21"/>
      <c r="D45" s="313"/>
      <c r="E45" s="163" t="str">
        <f>IF($C$35="","",IF(OR($C$35='Auto Responses'!$J$19,$C$35='Auto Responses'!$J$20,$C$35='Auto Responses'!$J$21,$C$35='Auto Responses'!$J$22,$C$35='Auto Responses'!$J$23),'Auto Responses'!$A$26,IF($C45='Auto Responses'!$J$3,VLOOKUP($A45,Questions!$A$2:$X$333,17,0)&amp;"",IF($C45='Auto Responses'!$J$4,VLOOKUP($A45,Questions!$A$2:$X$333,16,0)&amp;"",VLOOKUP($A45,Questions!$A$2:$X$333,15,0)&amp;""))))</f>
        <v>Based on the response to DCTR-01, this question does not apply to this product or service.</v>
      </c>
      <c r="F45" s="197" t="str">
        <f>VLOOKUP($A45,'Institution Evaluation'!$A$56:$F$345,6,0)&amp;""</f>
        <v/>
      </c>
      <c r="I45" s="35"/>
      <c r="J45" s="35"/>
    </row>
    <row r="46" spans="1:10" s="1" customFormat="1" ht="55.5" customHeight="1" x14ac:dyDescent="0.25">
      <c r="A46" s="19" t="s">
        <v>262</v>
      </c>
      <c r="B46" s="18" t="str">
        <f>VLOOKUP($A46,Questions!$A$2:$X$333,2,0)</f>
        <v>Do you have Internet Service Provider (ISP) redundancy?</v>
      </c>
      <c r="C46" s="21"/>
      <c r="D46" s="313"/>
      <c r="E46" s="163" t="str">
        <f>IF($C$35="","",IF(OR($C$35='Auto Responses'!$J$20,$C$35='Auto Responses'!$J$21,$C$35='Auto Responses'!$J$22),'Auto Responses'!$A$26,IF($C46='Auto Responses'!$J$3,VLOOKUP($A46,Questions!$A$2:$X$333,17,0)&amp;"",IF($C46='Auto Responses'!$J$4,VLOOKUP($A46,Questions!$A$2:$X$333,16,0)&amp;"",VLOOKUP($A46,Questions!$A$2:$X$333,15,0)&amp;""))))</f>
        <v>Based on the response to DCTR-01, this question does not apply to this product or service.</v>
      </c>
      <c r="F46" s="197" t="str">
        <f>VLOOKUP($A46,'Institution Evaluation'!$A$56:$F$345,6,0)&amp;""</f>
        <v/>
      </c>
      <c r="I46" s="35"/>
      <c r="J46" s="35"/>
    </row>
    <row r="47" spans="1:10" s="1" customFormat="1" ht="56.25" customHeight="1" x14ac:dyDescent="0.25">
      <c r="A47" s="19" t="s">
        <v>263</v>
      </c>
      <c r="B47" s="18" t="str">
        <f>VLOOKUP($A47,Questions!$A$2:$X$333,2,0)</f>
        <v>Does every data center where the institution's data will reside have multiple telephone company or network provider entrances to the facility?</v>
      </c>
      <c r="C47" s="21"/>
      <c r="D47" s="313"/>
      <c r="E47" s="163" t="str">
        <f>IF($C$35="","",IF(OR($C$35='Auto Responses'!$J$20,$C$35='Auto Responses'!$J$21,$C$35='Auto Responses'!$J$22),'Auto Responses'!$A$26,IF($C47='Auto Responses'!$J$3,VLOOKUP($A47,Questions!$A$2:$X$333,17,0)&amp;"",IF($C47='Auto Responses'!$J$4,VLOOKUP($A47,Questions!$A$2:$X$333,16,0)&amp;"",VLOOKUP($A47,Questions!$A$2:$X$333,15,0)&amp;""))))</f>
        <v>Based on the response to DCTR-01, this question does not apply to this product or service.</v>
      </c>
      <c r="F47" s="197" t="str">
        <f>VLOOKUP($A47,'Institution Evaluation'!$A$56:$F$345,6,0)&amp;""</f>
        <v/>
      </c>
      <c r="I47" s="35"/>
      <c r="J47" s="35"/>
    </row>
    <row r="48" spans="1:10" s="1" customFormat="1" ht="189" x14ac:dyDescent="0.25">
      <c r="A48" s="19" t="s">
        <v>264</v>
      </c>
      <c r="B48" s="18" t="str">
        <f>VLOOKUP($A48,Questions!$A$2:$X$333,2,0)</f>
        <v>Do you require multifactor authentication for all administrative accounts in your environment?</v>
      </c>
      <c r="C48" s="21" t="s">
        <v>26</v>
      </c>
      <c r="D48" s="313" t="s">
        <v>265</v>
      </c>
      <c r="E48" s="163" t="str">
        <f>IF($C$35="","",IF($C48='Auto Responses'!$J$3,VLOOKUP($A48,Questions!$A$2:$X$333,17,0)&amp;"",IF($C48='Auto Responses'!$J$4,VLOOKUP($A48,Questions!$A$2:$X$333,16,0)&amp;"",VLOOKUP($A48,Questions!$A$2:$X$333,15,0)&amp;"")))</f>
        <v>State which model of MFA you are using.</v>
      </c>
      <c r="F48" s="197" t="str">
        <f>VLOOKUP($A48,'Institution Evaluation'!$A$56:$F$345,6,0)&amp;""</f>
        <v/>
      </c>
      <c r="I48" s="35"/>
      <c r="J48" s="35"/>
    </row>
    <row r="49" spans="1:10" s="1" customFormat="1" ht="135" x14ac:dyDescent="0.25">
      <c r="A49" s="19" t="s">
        <v>266</v>
      </c>
      <c r="B49" s="18" t="str">
        <f>VLOOKUP($A49,Questions!$A$2:$X$333,2,0)</f>
        <v>Are you using your cloud provider's available hardening tools or pre-hardened images?</v>
      </c>
      <c r="C49" s="21" t="s">
        <v>46</v>
      </c>
      <c r="D49" s="313" t="s">
        <v>267</v>
      </c>
      <c r="E49" s="163" t="str">
        <f>IF($C$35="","",IF(OR($C$35='Auto Responses'!$J$17,$C$35='Auto Responses'!$J$18),'Auto Responses'!$A$26,IF($C49='Auto Responses'!$J$3,VLOOKUP($A49,Questions!$A$2:$X$333,17,0)&amp;"",IF($C49='Auto Responses'!$J$4,VLOOKUP($A49,Questions!$A$2:$X$333,16,0)&amp;"",VLOOKUP($A49,Questions!$A$2:$X$333,15,0)&amp;""))))</f>
        <v>Describe how you alternately harden your images.</v>
      </c>
      <c r="F49" s="197" t="str">
        <f>VLOOKUP($A49,'Institution Evaluation'!$A$56:$F$345,6,0)&amp;""</f>
        <v/>
      </c>
      <c r="I49" s="35"/>
      <c r="J49" s="35"/>
    </row>
    <row r="50" spans="1:10" s="1" customFormat="1" ht="230" thickBot="1" x14ac:dyDescent="0.3">
      <c r="A50" s="19" t="s">
        <v>268</v>
      </c>
      <c r="B50" s="18" t="str">
        <f>VLOOKUP($A50,Questions!$A$2:$X$333,2,0)</f>
        <v>Does your cloud solution provider have access to your encryption keys?</v>
      </c>
      <c r="C50" s="21" t="s">
        <v>26</v>
      </c>
      <c r="D50" s="363" t="s">
        <v>269</v>
      </c>
      <c r="E50" s="163" t="str">
        <f>IF($C$35="","",IF(OR($C$35='Auto Responses'!$J$17,$C$35='Auto Responses'!$J$18),'Auto Responses'!$A$26,IF($C50='Auto Responses'!$J$3,VLOOKUP($A50,Questions!$A$2:$X$333,17,0)&amp;"",IF($C50='Auto Responses'!$J$4,VLOOKUP($A50,Questions!$A$2:$X$333,16,0)&amp;"",VLOOKUP($A50,Questions!$A$2:$X$333,15,0)&amp;""))))</f>
        <v>Describe your key management practices.</v>
      </c>
      <c r="F50" s="197" t="str">
        <f>VLOOKUP($A50,'Institution Evaluation'!$A$56:$F$345,6,0)&amp;""</f>
        <v/>
      </c>
      <c r="I50" s="35"/>
      <c r="J50" s="35"/>
    </row>
    <row r="51" spans="1:10" s="1" customFormat="1" ht="37.5" customHeight="1" thickBot="1" x14ac:dyDescent="0.3">
      <c r="A51" s="63" t="str">
        <f>VLOOKUP(LEFT($A52,4),'Auto Responses'!$N$4:$O$38,2,0)&amp;""</f>
        <v xml:space="preserve"> Firewalls, IDS, IPS, and Networking</v>
      </c>
      <c r="B51" s="22"/>
      <c r="C51" s="13" t="s">
        <v>21</v>
      </c>
      <c r="D51" s="13" t="s">
        <v>22</v>
      </c>
      <c r="E51" s="31" t="s">
        <v>23</v>
      </c>
      <c r="F51" s="183" t="s">
        <v>24</v>
      </c>
      <c r="I51" s="35"/>
      <c r="J51" s="35"/>
    </row>
    <row r="52" spans="1:10" s="1" customFormat="1" ht="135" x14ac:dyDescent="0.25">
      <c r="A52" s="19" t="s">
        <v>270</v>
      </c>
      <c r="B52" s="18" t="str">
        <f>VLOOKUP($A52,Questions!$A$2:$X$333,2,0)</f>
        <v>Are you utilizing a stateful packet inspection (SPI) firewall?*</v>
      </c>
      <c r="C52" s="21" t="s">
        <v>26</v>
      </c>
      <c r="D52" s="313" t="s">
        <v>271</v>
      </c>
      <c r="E52" s="163" t="str">
        <f>IF($C$18='Auto Responses'!$J$4,'Auto Responses'!$A$3,IF($C52='Auto Responses'!$J$3,VLOOKUP($A52,Questions!$A$2:$X$333,17,0)&amp;"",IF($C52='Auto Responses'!$J$4,VLOOKUP($A52,Questions!$A$2:$X$333,16,0)&amp;"",VLOOKUP($A52,Questions!$A$2:$X$333,15,0)&amp;"")))</f>
        <v>Describe the currently implemented SPI firewall.</v>
      </c>
      <c r="F52" s="197" t="str">
        <f>VLOOKUP($A52,'Institution Evaluation'!$A$56:$F$345,6,0)&amp;""</f>
        <v/>
      </c>
      <c r="I52" s="35"/>
      <c r="J52" s="35"/>
    </row>
    <row r="53" spans="1:10" s="1" customFormat="1" ht="148.5" x14ac:dyDescent="0.25">
      <c r="A53" s="19" t="s">
        <v>272</v>
      </c>
      <c r="B53" s="18" t="str">
        <f>VLOOKUP($A53,Questions!$A$2:$X$333,2,0)</f>
        <v>Do you have a documented policy for firewall change requests?*</v>
      </c>
      <c r="C53" s="21" t="s">
        <v>26</v>
      </c>
      <c r="D53" s="313" t="s">
        <v>273</v>
      </c>
      <c r="E53" s="163" t="str">
        <f>IF($C$18='Auto Responses'!$J$4,'Auto Responses'!$A$3,IF($C53='Auto Responses'!$J$3,VLOOKUP($A53,Questions!$A$2:$X$333,17,0)&amp;"",IF($C53='Auto Responses'!$J$4,VLOOKUP($A53,Questions!$A$2:$X$333,16,0)&amp;"",VLOOKUP($A53,Questions!$A$2:$X$333,15,0)&amp;"")))</f>
        <v>Describe your documented firewall change request policy.</v>
      </c>
      <c r="F53" s="197" t="str">
        <f>VLOOKUP($A53,'Institution Evaluation'!$A$56:$F$345,6,0)&amp;""</f>
        <v/>
      </c>
      <c r="I53" s="35"/>
      <c r="J53" s="35"/>
    </row>
    <row r="54" spans="1:10" s="1" customFormat="1" ht="81" x14ac:dyDescent="0.25">
      <c r="A54" s="19" t="s">
        <v>274</v>
      </c>
      <c r="B54" s="18" t="str">
        <f>VLOOKUP($A54,Questions!$A$2:$X$333,2,0)</f>
        <v>Have you implemented an intrusion detection system (network-based)?*</v>
      </c>
      <c r="C54" s="21" t="s">
        <v>26</v>
      </c>
      <c r="D54" s="313" t="s">
        <v>275</v>
      </c>
      <c r="E54" s="163" t="str">
        <f>IF($C$18='Auto Responses'!$J$4,'Auto Responses'!$A$3,IF($C54='Auto Responses'!$J$3,VLOOKUP($A54,Questions!$A$2:$X$333,17,0)&amp;"",IF($C54='Auto Responses'!$J$4,VLOOKUP($A54,Questions!$A$2:$X$333,16,0)&amp;"",VLOOKUP($A54,Questions!$A$2:$X$333,15,0)&amp;"")))</f>
        <v>Describe the currently implemented IDS.</v>
      </c>
      <c r="F54" s="197" t="str">
        <f>VLOOKUP($A54,'Institution Evaluation'!$A$56:$F$345,6,0)&amp;""</f>
        <v/>
      </c>
      <c r="I54" s="35"/>
      <c r="J54" s="35"/>
    </row>
    <row r="55" spans="1:10" s="1" customFormat="1" ht="94.5" x14ac:dyDescent="0.25">
      <c r="A55" s="19" t="s">
        <v>276</v>
      </c>
      <c r="B55" s="18" t="str">
        <f>VLOOKUP($A55,Questions!$A$2:$X$333,2,0)</f>
        <v>Do you employ host-based intrusion detection?*</v>
      </c>
      <c r="C55" s="21" t="s">
        <v>26</v>
      </c>
      <c r="D55" s="313" t="s">
        <v>277</v>
      </c>
      <c r="E55" s="163" t="str">
        <f>IF($C$18='Auto Responses'!$J$4,'Auto Responses'!$A$3,IF($C55='Auto Responses'!$J$3,VLOOKUP($A55,Questions!$A$2:$X$333,17,0)&amp;"",IF($C55='Auto Responses'!$J$4,VLOOKUP($A55,Questions!$A$2:$X$333,16,0)&amp;"",IF($C55='Auto Responses'!$J$5,VLOOKUP($A55,Questions!$A$2:$X$333,18,0)&amp;"",VLOOKUP($A55,Questions!$A$2:$X$333,15,0)&amp;""))))</f>
        <v>Describe the currently implemented host-based IDS solution(s).</v>
      </c>
      <c r="F55" s="197" t="str">
        <f>VLOOKUP($A55,'Institution Evaluation'!$A$56:$F$345,6,0)&amp;""</f>
        <v/>
      </c>
      <c r="I55" s="35"/>
      <c r="J55" s="35"/>
    </row>
    <row r="56" spans="1:10" s="1" customFormat="1" ht="121.5" x14ac:dyDescent="0.25">
      <c r="A56" s="19" t="s">
        <v>278</v>
      </c>
      <c r="B56" s="18" t="str">
        <f>VLOOKUP($A56,Questions!$A$2:$X$333,2,0)</f>
        <v>Are audit logs available for all changes to the network, firewall, IDS, and IPS systems?*</v>
      </c>
      <c r="C56" s="21" t="s">
        <v>26</v>
      </c>
      <c r="D56" s="313" t="s">
        <v>279</v>
      </c>
      <c r="E56" s="163" t="str">
        <f>IF($C$18='Auto Responses'!$J$4,'Auto Responses'!$A$3,IF($C56='Auto Responses'!$J$3,VLOOKUP($A56,Questions!$A$2:$X$333,17,0)&amp;"",IF($C56='Auto Responses'!$J$4,VLOOKUP($A56,Questions!$A$2:$X$333,16,0)&amp;"",VLOOKUP($A56,Questions!$A$2:$X$333,15,0)&amp;"")))</f>
        <v>Describe your current network systems logging strategy.</v>
      </c>
      <c r="F56" s="197" t="str">
        <f>VLOOKUP($A56,'Institution Evaluation'!$A$56:$F$345,6,0)&amp;""</f>
        <v/>
      </c>
      <c r="I56" s="35"/>
      <c r="J56" s="35"/>
    </row>
    <row r="57" spans="1:10" s="1" customFormat="1" ht="108" x14ac:dyDescent="0.25">
      <c r="A57" s="19" t="s">
        <v>280</v>
      </c>
      <c r="B57" s="18" t="str">
        <f>VLOOKUP($A57,Questions!$A$2:$X$333,2,0)</f>
        <v>Is authority for firewall change approval documented? Please list approver names or titles in Additional Info.</v>
      </c>
      <c r="C57" s="21" t="s">
        <v>26</v>
      </c>
      <c r="D57" s="313" t="s">
        <v>281</v>
      </c>
      <c r="E57" s="163" t="str">
        <f>IF($C$18='Auto Responses'!$J$4,'Auto Responses'!$A$3,IF($C57='Auto Responses'!$J$3,VLOOKUP($A57,Questions!$A$2:$X$333,17,0)&amp;"",IF($C57='Auto Responses'!$J$4,VLOOKUP($A57,Questions!$A$2:$X$333,16,0)&amp;"",VLOOKUP($A57,Questions!$A$2:$X$333,15,0)&amp;"")))</f>
        <v>List approver names or titles.</v>
      </c>
      <c r="F57" s="197" t="str">
        <f>VLOOKUP($A57,'Institution Evaluation'!$A$56:$F$345,6,0)&amp;""</f>
        <v/>
      </c>
      <c r="I57" s="35"/>
      <c r="J57" s="35"/>
    </row>
    <row r="58" spans="1:10" s="1" customFormat="1" ht="108" x14ac:dyDescent="0.25">
      <c r="A58" s="19" t="s">
        <v>282</v>
      </c>
      <c r="B58" s="18" t="str">
        <f>VLOOKUP($A58,Questions!$A$2:$X$333,2,0)</f>
        <v>Have you implemented an intrusion prevention system (network-based)?</v>
      </c>
      <c r="C58" s="21" t="s">
        <v>26</v>
      </c>
      <c r="D58" s="313" t="s">
        <v>283</v>
      </c>
      <c r="E58" s="163" t="str">
        <f>IF($C$18='Auto Responses'!$J$4,'Auto Responses'!$A$3,IF($C58='Auto Responses'!$J$3,VLOOKUP($A58,Questions!$A$2:$X$333,17,0)&amp;"",IF($C58='Auto Responses'!$J$4,VLOOKUP($A58,Questions!$A$2:$X$333,16,0)&amp;"",VLOOKUP($A58,Questions!$A$2:$X$333,15,0)&amp;"")))</f>
        <v>Describe the currently implemented IPS.</v>
      </c>
      <c r="F58" s="197" t="str">
        <f>VLOOKUP($A58,'Institution Evaluation'!$A$56:$F$345,6,0)&amp;""</f>
        <v/>
      </c>
      <c r="I58" s="35"/>
      <c r="J58" s="35"/>
    </row>
    <row r="59" spans="1:10" s="1" customFormat="1" ht="94.5" x14ac:dyDescent="0.25">
      <c r="A59" s="19" t="s">
        <v>284</v>
      </c>
      <c r="B59" s="18" t="str">
        <f>VLOOKUP($A59,Questions!$A$2:$X$333,2,0)</f>
        <v>Do you employ host-based intrusion prevention?</v>
      </c>
      <c r="C59" s="21" t="s">
        <v>26</v>
      </c>
      <c r="D59" s="313" t="s">
        <v>285</v>
      </c>
      <c r="E59" s="163" t="str">
        <f>IF($C$18='Auto Responses'!$J$4,'Auto Responses'!$A$3,IF($C59='Auto Responses'!$J$3,VLOOKUP($A59,Questions!$A$2:$X$333,17,0)&amp;"",IF($C59='Auto Responses'!$J$4,VLOOKUP($A59,Questions!$A$2:$X$333,16,0)&amp;"",IF($C59='Auto Responses'!$J$5,VLOOKUP($A59,Questions!$A$2:$X$333,18,0)&amp;"",VLOOKUP($A59,Questions!$A$2:$X$333,15,0)&amp;""))))</f>
        <v>Describe the currently implemented host-based IPS solution(s).</v>
      </c>
      <c r="F59" s="197" t="str">
        <f>VLOOKUP($A59,'Institution Evaluation'!$A$56:$F$345,6,0)&amp;""</f>
        <v/>
      </c>
      <c r="I59" s="35"/>
      <c r="J59" s="35"/>
    </row>
    <row r="60" spans="1:10" s="1" customFormat="1" ht="135" x14ac:dyDescent="0.25">
      <c r="A60" s="19" t="s">
        <v>286</v>
      </c>
      <c r="B60" s="18" t="str">
        <f>VLOOKUP($A60,Questions!$A$2:$X$333,2,0)</f>
        <v>Are you employing any next-generation persistent threat (NGPT) monitoring?</v>
      </c>
      <c r="C60" s="21" t="s">
        <v>26</v>
      </c>
      <c r="D60" s="313" t="s">
        <v>287</v>
      </c>
      <c r="E60" s="163" t="str">
        <f>IF($C$18='Auto Responses'!$J$4,'Auto Responses'!$A$3,IF($C60='Auto Responses'!$J$3,VLOOKUP($A60,Questions!$A$2:$X$333,17,0)&amp;"",IF($C60='Auto Responses'!$J$4,VLOOKUP($A60,Questions!$A$2:$X$333,16,0)&amp;"",VLOOKUP($A60,Questions!$A$2:$X$333,15,0)&amp;"")))</f>
        <v>Describe your NGPT monitoring strategy.</v>
      </c>
      <c r="F60" s="197" t="str">
        <f>VLOOKUP($A60,'Institution Evaluation'!$A$56:$F$345,6,0)&amp;""</f>
        <v/>
      </c>
      <c r="I60" s="35"/>
      <c r="J60" s="35"/>
    </row>
    <row r="61" spans="1:10" s="1" customFormat="1" ht="108" x14ac:dyDescent="0.25">
      <c r="A61" s="19" t="s">
        <v>288</v>
      </c>
      <c r="B61" s="18" t="str">
        <f>VLOOKUP($A61,Questions!$A$2:$X$333,2,0)</f>
        <v>Is intrusion monitoring performed internally or by a third-party service?</v>
      </c>
      <c r="C61" s="21" t="s">
        <v>26</v>
      </c>
      <c r="D61" s="309" t="s">
        <v>289</v>
      </c>
      <c r="E61" s="163" t="str">
        <f>IF($C$18='Auto Responses'!$J$4,'Auto Responses'!$A$3,IF($C61='Auto Responses'!$J$3,VLOOKUP($A61,Questions!$A$2:$X$333,17,0)&amp;"",IF($C61='Auto Responses'!$J$4,VLOOKUP($A61,Questions!$A$2:$X$333,16,0)&amp;"",VLOOKUP($A61,Questions!$A$2:$X$333,15,0)&amp;"")))</f>
        <v>In addition to stating your intrusion monitoring strategy, provide a brief summary of its implementation.</v>
      </c>
      <c r="F61" s="197" t="str">
        <f>VLOOKUP($A61,'Institution Evaluation'!$A$56:$F$345,6,0)&amp;""</f>
        <v/>
      </c>
      <c r="I61" s="35"/>
      <c r="J61" s="35"/>
    </row>
    <row r="62" spans="1:10" s="1" customFormat="1" ht="149" thickBot="1" x14ac:dyDescent="0.3">
      <c r="A62" s="19" t="s">
        <v>290</v>
      </c>
      <c r="B62" s="18" t="str">
        <f>VLOOKUP($A62,Questions!$A$2:$X$333,2,0)</f>
        <v>Do you monitor for intrusions on a 24 x 7 x 365 basis?</v>
      </c>
      <c r="C62" s="21" t="s">
        <v>26</v>
      </c>
      <c r="D62" s="313" t="s">
        <v>291</v>
      </c>
      <c r="E62" s="163" t="str">
        <f>IF($C$18='Auto Responses'!$J$4,'Auto Responses'!$A$3,IF($C62='Auto Responses'!$J$3,VLOOKUP($A62,Questions!$A$2:$X$333,17,0)&amp;"",IF($C62='Auto Responses'!$J$4,VLOOKUP($A62,Questions!$A$2:$X$333,16,0)&amp;"",VLOOKUP($A62,Questions!$A$2:$X$333,15,0)&amp;"")))</f>
        <v>Provide a brief summary of this activity.</v>
      </c>
      <c r="F62" s="197" t="str">
        <f>VLOOKUP($A62,'Institution Evaluation'!$A$56:$F$345,6,0)&amp;""</f>
        <v/>
      </c>
      <c r="G62" s="234" t="s">
        <v>36</v>
      </c>
      <c r="I62" s="35"/>
      <c r="J62" s="35"/>
    </row>
    <row r="63" spans="1:10" s="1" customFormat="1" ht="37.5" customHeight="1" thickBot="1" x14ac:dyDescent="0.3">
      <c r="A63" s="63" t="str">
        <f>VLOOKUP(LEFT($A64,4),'Auto Responses'!$N$4:$O$38,2,0)&amp;""</f>
        <v xml:space="preserve"> Incident Handling</v>
      </c>
      <c r="B63" s="22"/>
      <c r="C63" s="13" t="s">
        <v>21</v>
      </c>
      <c r="D63" s="13" t="s">
        <v>22</v>
      </c>
      <c r="E63" s="31" t="s">
        <v>23</v>
      </c>
      <c r="F63" s="183" t="s">
        <v>24</v>
      </c>
      <c r="I63" s="35"/>
      <c r="J63" s="35"/>
    </row>
    <row r="64" spans="1:10" s="1" customFormat="1" ht="270" x14ac:dyDescent="0.25">
      <c r="A64" s="19" t="s">
        <v>292</v>
      </c>
      <c r="B64" s="18" t="str">
        <f>VLOOKUP($A64,Questions!$A$2:$X$333,2,0)</f>
        <v>Do you have a formal incident response plan?</v>
      </c>
      <c r="C64" s="21" t="s">
        <v>26</v>
      </c>
      <c r="D64" s="313" t="s">
        <v>293</v>
      </c>
      <c r="E64" s="163" t="str">
        <f>IF($C$18='Auto Responses'!$J$4,'Auto Responses'!$A$3,IF($C64='Auto Responses'!$J$3,VLOOKUP($A64,Questions!$A$2:$X$333,17,0)&amp;"",IF($C64='Auto Responses'!$J$4,VLOOKUP($A64,Questions!$A$2:$X$333,16,0)&amp;"",VLOOKUP($A64,Questions!$A$2:$X$333,15,0)&amp;"")))</f>
        <v>Summarize or provide a link to your formal incident response plan.</v>
      </c>
      <c r="F64" s="197" t="str">
        <f>VLOOKUP($A64,'Institution Evaluation'!$A$56:$F$345,6,0)&amp;""</f>
        <v/>
      </c>
      <c r="I64" s="35"/>
      <c r="J64" s="35"/>
    </row>
    <row r="65" spans="1:12" s="1" customFormat="1" ht="189" x14ac:dyDescent="0.25">
      <c r="A65" s="19" t="s">
        <v>294</v>
      </c>
      <c r="B65" s="18" t="str">
        <f>VLOOKUP($A65,Questions!$A$2:$X$333,2,0)</f>
        <v>Do you either have an internal incident response team or retain an external team?</v>
      </c>
      <c r="C65" s="21" t="s">
        <v>26</v>
      </c>
      <c r="D65" s="313" t="s">
        <v>295</v>
      </c>
      <c r="E65" s="163" t="str">
        <f>IF($C$18='Auto Responses'!$J$4,'Auto Responses'!$A$3,IF($C65='Auto Responses'!$J$3,VLOOKUP($A65,Questions!$A$2:$X$333,17,0)&amp;"",IF($C65='Auto Responses'!$J$4,VLOOKUP($A65,Questions!$A$2:$X$333,16,0)&amp;"",VLOOKUP($A65,Questions!$A$2:$X$333,15,0)&amp;"")))</f>
        <v>Summarize your incident response and reporting processes.</v>
      </c>
      <c r="F65" s="197" t="str">
        <f>VLOOKUP($A65,'Institution Evaluation'!$A$56:$F$345,6,0)&amp;""</f>
        <v/>
      </c>
      <c r="I65" s="35"/>
      <c r="J65" s="35"/>
    </row>
    <row r="66" spans="1:12" s="1" customFormat="1" ht="135" x14ac:dyDescent="0.25">
      <c r="A66" s="19" t="s">
        <v>296</v>
      </c>
      <c r="B66" s="18" t="str">
        <f>VLOOKUP($A66,Questions!$A$2:$X$333,2,0)</f>
        <v>Do you have the capability to respond to incidents on a 24 x 7 x 365 basis?</v>
      </c>
      <c r="C66" s="21" t="s">
        <v>26</v>
      </c>
      <c r="D66" s="313" t="s">
        <v>297</v>
      </c>
      <c r="E66" s="163" t="str">
        <f>IF($C$18='Auto Responses'!$J$4,'Auto Responses'!$A$3,IF($C66='Auto Responses'!$J$3,VLOOKUP($A66,Questions!$A$2:$X$333,17,0)&amp;"",IF($C66='Auto Responses'!$J$4,VLOOKUP($A66,Questions!$A$2:$X$333,16,0)&amp;"",VLOOKUP($A66,Questions!$A$2:$X$333,15,0)&amp;"")))</f>
        <v>Summarize your internal approach or reference your third-party contractor.</v>
      </c>
      <c r="F66" s="197" t="str">
        <f>VLOOKUP($A66,'Institution Evaluation'!$A$56:$F$345,6,0)&amp;""</f>
        <v/>
      </c>
      <c r="I66" s="35"/>
      <c r="J66" s="35"/>
    </row>
    <row r="67" spans="1:12" s="1" customFormat="1" ht="54.5" thickBot="1" x14ac:dyDescent="0.3">
      <c r="A67" s="19" t="s">
        <v>298</v>
      </c>
      <c r="B67" s="18" t="str">
        <f>VLOOKUP($A67,Questions!$A$2:$X$333,2,0)</f>
        <v>Do you carry cyber-risk insurance to protect against unforeseen service outages, data that is lost or stolen, and security incidents?</v>
      </c>
      <c r="C67" s="21" t="s">
        <v>26</v>
      </c>
      <c r="D67" s="313" t="s">
        <v>299</v>
      </c>
      <c r="E67" s="163" t="str">
        <f>IF($C$18='Auto Responses'!$J$4,'Auto Responses'!$A$3,IF($C67='Auto Responses'!$J$3,VLOOKUP($A67,Questions!$A$2:$X$333,17,0)&amp;"",IF($C67='Auto Responses'!$J$4,VLOOKUP($A67,Questions!$A$2:$X$333,16,0)&amp;"",VLOOKUP($A67,Questions!$A$2:$X$333,15,0)&amp;"")))</f>
        <v>Describe the coverage in place for this solution.</v>
      </c>
      <c r="F67" s="197" t="str">
        <f>VLOOKUP($A67,'Institution Evaluation'!$A$56:$F$345,6,0)&amp;""</f>
        <v/>
      </c>
      <c r="G67" s="234" t="s">
        <v>36</v>
      </c>
      <c r="I67" s="35"/>
      <c r="J67" s="35"/>
    </row>
    <row r="68" spans="1:12" s="1" customFormat="1" ht="37.5" customHeight="1" thickBot="1" x14ac:dyDescent="0.3">
      <c r="A68" s="63" t="str">
        <f>VLOOKUP(LEFT($A69,4),'Auto Responses'!$N$4:$O$38,2,0)&amp;""</f>
        <v xml:space="preserve"> Vulnerability Management</v>
      </c>
      <c r="B68" s="22"/>
      <c r="C68" s="13" t="s">
        <v>21</v>
      </c>
      <c r="D68" s="13" t="s">
        <v>22</v>
      </c>
      <c r="E68" s="31" t="s">
        <v>23</v>
      </c>
      <c r="F68" s="183" t="s">
        <v>24</v>
      </c>
      <c r="I68" s="35"/>
      <c r="J68" s="35"/>
    </row>
    <row r="69" spans="1:12" s="1" customFormat="1" ht="175.5" x14ac:dyDescent="0.25">
      <c r="A69" s="19" t="s">
        <v>300</v>
      </c>
      <c r="B69" s="18" t="str">
        <f>VLOOKUP($A69,Questions!$A$2:$X$333,2,0)</f>
        <v>Are your systems and applications scanned with an authenticated user account for vulnerabilities (that are remediated) prior to new releases?*</v>
      </c>
      <c r="C69" s="21" t="s">
        <v>26</v>
      </c>
      <c r="D69" s="313" t="s">
        <v>2149</v>
      </c>
      <c r="E69" s="163" t="str">
        <f>IF($C$18='Auto Responses'!$J$4,'Auto Responses'!$A$3,IF($C69='Auto Responses'!$J$3,VLOOKUP($A69,Questions!$A$2:$X$333,17,0)&amp;"",IF($C69='Auto Responses'!$J$4,VLOOKUP($A69,Questions!$A$2:$X$333,16,0)&amp;"",VLOOKUP($A69,Questions!$A$2:$X$333,15,0)&amp;"")))</f>
        <v>Provide a brief description.</v>
      </c>
      <c r="F69" s="197" t="str">
        <f>VLOOKUP($A69,'Institution Evaluation'!$A$56:$F$345,6,0)&amp;""</f>
        <v/>
      </c>
      <c r="I69" s="35"/>
      <c r="J69" s="35"/>
    </row>
    <row r="70" spans="1:12" s="1" customFormat="1" ht="162" x14ac:dyDescent="0.25">
      <c r="A70" s="19" t="s">
        <v>301</v>
      </c>
      <c r="B70" s="18" t="str">
        <f>VLOOKUP($A70,Questions!$A$2:$X$333,2,0)</f>
        <v>Will you provide results of application and system vulnerability scans to the institution?*</v>
      </c>
      <c r="C70" s="21" t="s">
        <v>26</v>
      </c>
      <c r="D70" s="313" t="s">
        <v>302</v>
      </c>
      <c r="E70" s="163" t="str">
        <f>IF($C$18='Auto Responses'!$J$4,'Auto Responses'!$A$3,IF($C70='Auto Responses'!$J$3,VLOOKUP($A70,Questions!$A$2:$X$333,17,0)&amp;"",IF($C70='Auto Responses'!$J$4,VLOOKUP($A70,Questions!$A$2:$X$333,16,0)&amp;"",VLOOKUP($A70,Questions!$A$2:$X$333,15,0)&amp;"")))</f>
        <v>Provide a reference to security scan documentation.</v>
      </c>
      <c r="F70" s="197" t="str">
        <f>VLOOKUP($A70,'Institution Evaluation'!$A$56:$F$345,6,0)&amp;""</f>
        <v/>
      </c>
      <c r="I70" s="35"/>
      <c r="J70" s="35"/>
    </row>
    <row r="71" spans="1:12" s="1" customFormat="1" ht="337.5" x14ac:dyDescent="0.25">
      <c r="A71" s="19" t="s">
        <v>303</v>
      </c>
      <c r="B71" s="18" t="str">
        <f>VLOOKUP($A71,Questions!$A$2:$X$333,2,0)</f>
        <v>Will you allow the institution to perform its own vulnerability testing and/or scanning of your systems and/or application, provided that testing is performed at a mutually agreed upon time and date?*</v>
      </c>
      <c r="C71" s="21" t="s">
        <v>26</v>
      </c>
      <c r="D71" s="313" t="s">
        <v>304</v>
      </c>
      <c r="E71" s="163" t="str">
        <f>IF($C$18='Auto Responses'!$J$4,'Auto Responses'!$A$3,IF($C71='Auto Responses'!$J$3,VLOOKUP($A71,Questions!$A$2:$X$333,17,0)&amp;"",IF($C71='Auto Responses'!$J$4,VLOOKUP($A71,Questions!$A$2:$X$333,16,0)&amp;"",VLOOKUP($A71,Questions!$A$2:$X$333,15,0)&amp;"")))</f>
        <v>Provide reference to the process or procedure to set up security testing times and scopes.</v>
      </c>
      <c r="F71" s="197" t="str">
        <f>VLOOKUP($A71,'Institution Evaluation'!$A$56:$F$345,6,0)&amp;""</f>
        <v/>
      </c>
      <c r="I71" s="35"/>
      <c r="J71" s="35"/>
    </row>
    <row r="72" spans="1:12" s="1" customFormat="1" ht="189" x14ac:dyDescent="0.25">
      <c r="A72" s="19" t="s">
        <v>305</v>
      </c>
      <c r="B72" s="18" t="str">
        <f>VLOOKUP($A72,Questions!$A$2:$X$333,2,0)</f>
        <v>Have your systems and applications had a third-party security assessment completed in the last year?</v>
      </c>
      <c r="C72" s="21" t="s">
        <v>26</v>
      </c>
      <c r="D72" s="313" t="s">
        <v>306</v>
      </c>
      <c r="E72" s="163" t="str">
        <f>IF($C$18='Auto Responses'!$J$4,'Auto Responses'!$A$3,IF($C72='Auto Responses'!$J$3,VLOOKUP($A72,Questions!$A$2:$X$333,17,0)&amp;"",IF($C72='Auto Responses'!$J$4,VLOOKUP($A72,Questions!$A$2:$X$333,16,0)&amp;"",VLOOKUP($A72,Questions!$A$2:$X$333,15,0)&amp;"")))</f>
        <v>Provide the results with this document (link or attached), if possible. State the date of the last completed third-party security assessment.</v>
      </c>
      <c r="F72" s="197" t="str">
        <f>VLOOKUP($A72,'Institution Evaluation'!$A$56:$F$345,6,0)&amp;""</f>
        <v/>
      </c>
      <c r="I72" s="35"/>
      <c r="J72" s="35"/>
    </row>
    <row r="73" spans="1:12" s="1" customFormat="1" ht="162" x14ac:dyDescent="0.25">
      <c r="A73" s="19" t="s">
        <v>307</v>
      </c>
      <c r="B73" s="18" t="str">
        <f>VLOOKUP($A73,Questions!$A$2:$X$333,2,0)</f>
        <v>Do you regularly scan for common web application security vulnerabilities (e.g., SQL injection, XSS, XSRF, etc.)?</v>
      </c>
      <c r="C73" s="21" t="s">
        <v>26</v>
      </c>
      <c r="D73" s="363" t="s">
        <v>2150</v>
      </c>
      <c r="E73" s="163" t="str">
        <f>IF($C$18='Auto Responses'!$J$4,'Auto Responses'!$A$3,IF($C73='Auto Responses'!$J$3,VLOOKUP($A73,Questions!$A$2:$X$333,17,0)&amp;"",IF($C73='Auto Responses'!$J$4,VLOOKUP($A73,Questions!$A$2:$X$333,16,0)&amp;"",VLOOKUP($A73,Questions!$A$2:$X$333,15,0)&amp;"")))</f>
        <v>Ensure that all elements of VULN-05 are clearly stated in your response.</v>
      </c>
      <c r="F73" s="197" t="str">
        <f>VLOOKUP($A73,'Institution Evaluation'!$A$56:$F$345,6,0)&amp;""</f>
        <v/>
      </c>
      <c r="I73" s="35"/>
      <c r="J73" s="35"/>
    </row>
    <row r="74" spans="1:12" s="1" customFormat="1" ht="243" x14ac:dyDescent="0.25">
      <c r="A74" s="19" t="s">
        <v>308</v>
      </c>
      <c r="B74" s="18" t="str">
        <f>VLOOKUP($A74,Questions!$A$2:$X$333,2,0)</f>
        <v>Are your systems and applications regularly scanned externally for vulnerabilities?</v>
      </c>
      <c r="C74" s="21" t="s">
        <v>26</v>
      </c>
      <c r="D74" s="313" t="s">
        <v>309</v>
      </c>
      <c r="E74" s="163" t="str">
        <f>IF($C$18='Auto Responses'!$J$4,'Auto Responses'!$A$3,IF($C74='Auto Responses'!$J$3,VLOOKUP($A74,Questions!$A$2:$X$333,17,0)&amp;"",IF($C74='Auto Responses'!$J$4,VLOOKUP($A74,Questions!$A$2:$X$333,16,0)&amp;"",VLOOKUP($A74,Questions!$A$2:$X$333,15,0)&amp;"")))</f>
        <v>Describe your external application vulnerability scanning strategy.</v>
      </c>
      <c r="F74" s="197" t="str">
        <f>VLOOKUP($A74,'Institution Evaluation'!$A$56:$F$345,6,0)&amp;""</f>
        <v/>
      </c>
      <c r="G74" s="234" t="s">
        <v>36</v>
      </c>
      <c r="H74" s="35"/>
    </row>
    <row r="75" spans="1:12" s="167" customFormat="1" ht="36.75" customHeight="1" x14ac:dyDescent="0.25">
      <c r="A75" s="263" t="s">
        <v>54</v>
      </c>
      <c r="B75" s="249"/>
      <c r="C75" s="250"/>
      <c r="D75" s="314"/>
      <c r="E75" s="252"/>
      <c r="F75" s="253"/>
      <c r="G75" s="254"/>
      <c r="H75" s="168"/>
    </row>
    <row r="76" spans="1:12" s="1" customFormat="1" ht="15" hidden="1" customHeight="1" x14ac:dyDescent="0.25">
      <c r="A76" s="23"/>
      <c r="C76" s="8"/>
      <c r="D76" s="9"/>
      <c r="E76" s="10"/>
      <c r="I76" s="35"/>
      <c r="J76" s="35"/>
    </row>
    <row r="77" spans="1:12" ht="15" hidden="1" customHeight="1" x14ac:dyDescent="0.25">
      <c r="A77" s="1"/>
      <c r="B77" s="8"/>
      <c r="C77" s="71"/>
      <c r="D77" s="10"/>
      <c r="E77" s="1"/>
      <c r="H77" s="35"/>
      <c r="I77" s="1"/>
      <c r="J77" s="1"/>
      <c r="L77" s="23"/>
    </row>
    <row r="78" spans="1:12" ht="0" hidden="1" customHeight="1" x14ac:dyDescent="0.25">
      <c r="A78" s="19" t="e">
        <f>#REF!</f>
        <v>#REF!</v>
      </c>
    </row>
    <row r="79" spans="1:12" ht="0" hidden="1" customHeight="1" x14ac:dyDescent="0.25">
      <c r="A79" s="19" t="e">
        <f>#REF!</f>
        <v>#REF!</v>
      </c>
    </row>
    <row r="80" spans="1:12" ht="0" hidden="1" customHeight="1" x14ac:dyDescent="0.25">
      <c r="A80" s="19" t="e">
        <f>#REF!</f>
        <v>#REF!</v>
      </c>
    </row>
    <row r="81" spans="1:1" ht="0" hidden="1" customHeight="1" x14ac:dyDescent="0.25">
      <c r="A81" s="19" t="e">
        <f>#REF!</f>
        <v>#REF!</v>
      </c>
    </row>
    <row r="82" spans="1:1" ht="0" hidden="1" customHeight="1" x14ac:dyDescent="0.25">
      <c r="A82" s="19" t="e">
        <f>#REF!</f>
        <v>#REF!</v>
      </c>
    </row>
    <row r="83" spans="1:1" ht="0" hidden="1" customHeight="1" x14ac:dyDescent="0.25">
      <c r="A83" s="19" t="e">
        <f>#REF!</f>
        <v>#REF!</v>
      </c>
    </row>
    <row r="84" spans="1:1" ht="0" hidden="1" customHeight="1" x14ac:dyDescent="0.25">
      <c r="A84" s="19" t="e">
        <f>#REF!</f>
        <v>#REF!</v>
      </c>
    </row>
  </sheetData>
  <dataValidations count="3">
    <dataValidation allowBlank="1" showInputMessage="1" showErrorMessage="1" promptTitle="Warning!" prompt="The HECVAT is built using a number of complex formulas. Editing this cell can break the functionality of the tool. " sqref="C4:C12 A3:A75 C19:D19 C17:D17 C51:D51 C63:D63 C68:D68 C34:D34 D2:F12 C2 B2:B75 E17:F74" xr:uid="{871E98A8-35DA-4B00-A5D2-935B75619CA9}"/>
    <dataValidation allowBlank="1" showInputMessage="1" showErrorMessage="1" prompt="This answer has been populated from the &quot;START HERE&quot; tab and does not need to be re-entered." sqref="C18 C13:C16 C3" xr:uid="{A359637D-68E0-4379-B6B4-68D633131ED0}"/>
    <dataValidation allowBlank="1" showInputMessage="1" showErrorMessage="1" prompt="This cell should be left blank. Input your answer in column C." sqref="D61" xr:uid="{0DA1E363-2115-438E-8E6F-B1F840843C16}"/>
  </dataValidations>
  <hyperlinks>
    <hyperlink ref="A11" r:id="rId1" display="http://www.educause.edu/HECVAT" xr:uid="{BFD1FA5C-33B4-453F-A047-4C5E73726C2C}"/>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17EB304F-CC8A-406D-BCB4-3E87BF27F5AB}">
          <x14:formula1>
            <xm:f>'Auto Responses'!$J$17:$J$23</xm:f>
          </x14:formula1>
          <xm:sqref>C35</xm:sqref>
        </x14:dataValidation>
        <x14:dataValidation type="list" allowBlank="1" showInputMessage="1" showErrorMessage="1" xr:uid="{D592F1D7-1304-4313-8BF2-D63F23C31390}">
          <x14:formula1>
            <xm:f>'Auto Responses'!$J$3:$J$4</xm:f>
          </x14:formula1>
          <xm:sqref>C69:C75 C64:C67 C36:C50 C33 C20:C31 C52:C54 C56:C58 C60:C62</xm:sqref>
        </x14:dataValidation>
        <x14:dataValidation type="list" allowBlank="1" showInputMessage="1" showErrorMessage="1" xr:uid="{93657D99-E1FD-4BD9-A144-57795F7D382E}">
          <x14:formula1>
            <xm:f>'Auto Responses'!$J$3:$J$5</xm:f>
          </x14:formula1>
          <xm:sqref>C32 C55 C59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191D-6382-4321-8C35-861D8988BD45}">
  <sheetPr>
    <tabColor rgb="FF00636C"/>
  </sheetPr>
  <dimension ref="A1:L47"/>
  <sheetViews>
    <sheetView showGridLines="0" showZeros="0" topLeftCell="A2" zoomScale="143" zoomScaleNormal="60" workbookViewId="0">
      <selection activeCell="A2" sqref="A2"/>
    </sheetView>
  </sheetViews>
  <sheetFormatPr defaultColWidth="0" defaultRowHeight="0" customHeight="1" zeroHeight="1" x14ac:dyDescent="0.25"/>
  <cols>
    <col min="1" max="1" width="8.265625" customWidth="1"/>
    <col min="2" max="2" width="55.1328125" style="1" customWidth="1"/>
    <col min="3" max="3" width="18.86328125" style="8" customWidth="1"/>
    <col min="4" max="4" width="55.59765625" style="9" customWidth="1"/>
    <col min="5" max="5" width="32" style="10" customWidth="1"/>
    <col min="6" max="6" width="30.59765625" style="1" customWidth="1"/>
    <col min="7" max="7" width="18.1328125" style="1" customWidth="1"/>
    <col min="8" max="8" width="18.1328125" style="1" hidden="1" customWidth="1"/>
    <col min="9" max="10" width="18.1328125" style="35" hidden="1" customWidth="1"/>
    <col min="11" max="11" width="4.46484375" style="1" hidden="1" customWidth="1"/>
    <col min="12" max="12" width="6.59765625" style="1" hidden="1" customWidth="1"/>
    <col min="13" max="16384" width="6.59765625" hidden="1"/>
  </cols>
  <sheetData>
    <row r="1" spans="1:10" ht="0" hidden="1" customHeight="1" x14ac:dyDescent="0.25">
      <c r="A1" t="s">
        <v>0</v>
      </c>
    </row>
    <row r="2" spans="1:10" ht="36" customHeight="1" x14ac:dyDescent="0.25">
      <c r="A2" s="372" t="s">
        <v>310</v>
      </c>
      <c r="B2" s="164"/>
      <c r="C2" s="165"/>
      <c r="D2" s="304"/>
      <c r="E2" s="166"/>
      <c r="F2" s="166" t="str">
        <f>'Auto Responses'!$A$36</f>
        <v>Version 4.1.5</v>
      </c>
      <c r="J2" s="1"/>
    </row>
    <row r="3" spans="1:10" s="1" customFormat="1" ht="29.25" customHeight="1" x14ac:dyDescent="0.25">
      <c r="A3" s="37" t="s">
        <v>2</v>
      </c>
      <c r="B3" s="38"/>
      <c r="C3" s="66">
        <f>'START HERE'!$C$3</f>
        <v>46255</v>
      </c>
      <c r="D3" s="305"/>
      <c r="E3" s="36"/>
      <c r="F3" s="50"/>
      <c r="I3" s="35"/>
    </row>
    <row r="4" spans="1:10" s="1" customFormat="1" ht="36" customHeight="1" x14ac:dyDescent="0.25">
      <c r="A4" s="11" t="s">
        <v>3</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6"/>
      <c r="E5" s="16"/>
      <c r="F5" s="257"/>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6"/>
      <c r="E6" s="16"/>
      <c r="F6" s="258"/>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6"/>
      <c r="E7" s="16"/>
      <c r="F7" s="258"/>
      <c r="I7" s="35"/>
    </row>
    <row r="8" spans="1:10" s="1" customFormat="1" ht="19.5" customHeight="1" x14ac:dyDescent="0.25">
      <c r="A8" s="42" t="str">
        <f>HLOOKUP($A$4,'Auto Responses'!$D$2:$D$8,5,0)&amp;""</f>
        <v>4. DO NOT complete any fields in the "Evaluation" sheets or the "Analyst Notes" column.</v>
      </c>
      <c r="B8" s="16"/>
      <c r="C8" s="67"/>
      <c r="D8" s="306"/>
      <c r="E8" s="16"/>
      <c r="F8" s="258"/>
      <c r="I8" s="35"/>
    </row>
    <row r="9" spans="1:10" s="1" customFormat="1" ht="19.5" customHeight="1" x14ac:dyDescent="0.25">
      <c r="A9" s="42" t="str">
        <f>HLOOKUP($A$4,'Auto Responses'!$D$2:$D$8,6,0)&amp;""</f>
        <v>5. Return the completed file to institutions.</v>
      </c>
      <c r="B9" s="16"/>
      <c r="C9" s="67"/>
      <c r="D9" s="306"/>
      <c r="E9" s="16"/>
      <c r="F9" s="258"/>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6"/>
      <c r="E10" s="16"/>
      <c r="F10" s="258"/>
      <c r="I10" s="35"/>
    </row>
    <row r="11" spans="1:10" s="1" customFormat="1" ht="19.5" customHeight="1" x14ac:dyDescent="0.25">
      <c r="A11" s="242" t="str">
        <f>HLOOKUP($A$4,'Auto Responses'!$D$2:$D$9,8,0)&amp;""</f>
        <v>For full instructions, please visit educause.edu/HECVAT</v>
      </c>
      <c r="B11" s="16"/>
      <c r="C11" s="67"/>
      <c r="D11" s="306"/>
      <c r="E11" s="16"/>
      <c r="F11" s="259"/>
      <c r="I11" s="35"/>
    </row>
    <row r="12" spans="1:10" s="1" customFormat="1" ht="36" customHeight="1" x14ac:dyDescent="0.25">
      <c r="A12" s="63" t="str">
        <f>VLOOKUP(LEFT($A13,4),'Auto Responses'!$N$4:$O$38,2,0)&amp;""</f>
        <v xml:space="preserve"> General Information</v>
      </c>
      <c r="B12" s="12"/>
      <c r="C12" s="13" t="s">
        <v>21</v>
      </c>
      <c r="D12" s="307"/>
      <c r="E12" s="17"/>
      <c r="F12" s="17"/>
      <c r="I12" s="35"/>
      <c r="J12" s="35"/>
    </row>
    <row r="13" spans="1:10" s="1" customFormat="1" ht="22.5" customHeight="1" x14ac:dyDescent="0.25">
      <c r="A13" s="19" t="s">
        <v>4</v>
      </c>
      <c r="B13" s="20" t="str">
        <f>VLOOKUP($A13,Questions!$A$2:$X$333,2,0)&amp;""</f>
        <v>Solution Provider Name</v>
      </c>
      <c r="C13" s="76" t="str">
        <f>VLOOKUP($A13,'START HERE'!$A$13:$C$21,3,0)&amp;""</f>
        <v>Preservica Inc</v>
      </c>
      <c r="D13" s="32"/>
      <c r="E13" s="32"/>
      <c r="F13" s="50"/>
      <c r="I13" s="35"/>
      <c r="J13" s="35"/>
    </row>
    <row r="14" spans="1:10" s="1" customFormat="1" ht="22.5" customHeight="1" x14ac:dyDescent="0.25">
      <c r="A14" s="19" t="s">
        <v>6</v>
      </c>
      <c r="B14" s="20" t="str">
        <f>VLOOKUP($A14,Questions!$A$2:$X$333,2,0)&amp;""</f>
        <v>Solution Name</v>
      </c>
      <c r="C14" s="76" t="str">
        <f>VLOOKUP($A14,'START HERE'!$A$13:$C$21,3,0)&amp;""</f>
        <v>Preservica Pro, Preservica Pro Plus, Preservica Enterprise, Preservica Enterprise Plus - v9.x</v>
      </c>
      <c r="D14" s="32"/>
      <c r="E14" s="32"/>
      <c r="F14" s="50"/>
      <c r="I14" s="35"/>
      <c r="J14" s="35"/>
    </row>
    <row r="15" spans="1:10" s="1" customFormat="1" ht="22.5" customHeight="1" x14ac:dyDescent="0.25">
      <c r="A15" s="19" t="s">
        <v>8</v>
      </c>
      <c r="B15" s="20" t="str">
        <f>VLOOKUP($A15,Questions!$A$2:$X$333,2,0)&amp;""</f>
        <v>Solution Description</v>
      </c>
      <c r="C15" s="76" t="str">
        <f>VLOOKUP($A15,'START HERE'!$A$13:$C$21,3,0)&amp;""</f>
        <v>Preservica combines all the core requirements for successful long-term active digital preservation – including public and secure access - into a single integrated application that can be quickly deployed and hosted in the cloud.</v>
      </c>
      <c r="D15" s="32"/>
      <c r="E15" s="32"/>
      <c r="F15" s="50"/>
      <c r="I15" s="35"/>
      <c r="J15" s="35"/>
    </row>
    <row r="16" spans="1:10" s="1" customFormat="1" ht="22.5" customHeight="1" thickBot="1" x14ac:dyDescent="0.3">
      <c r="A16" s="19" t="s">
        <v>17</v>
      </c>
      <c r="B16" s="20" t="str">
        <f>VLOOKUP($A16,Questions!$A$2:$X$333,2,0)&amp;""</f>
        <v>Country of Company Headquarters</v>
      </c>
      <c r="C16" s="76" t="str">
        <f>VLOOKUP($A16,'START HERE'!$A$13:$C$21,3,0)&amp;""</f>
        <v>UK</v>
      </c>
      <c r="D16" s="32"/>
      <c r="E16" s="32"/>
      <c r="F16" s="50"/>
      <c r="I16" s="35"/>
      <c r="J16" s="35"/>
    </row>
    <row r="17" spans="1:10" s="1" customFormat="1" ht="37.5" customHeight="1" thickBot="1" x14ac:dyDescent="0.3">
      <c r="A17" s="63" t="str">
        <f>VLOOKUP(LEFT($A18,4),'Auto Responses'!$N$4:$O$38,2,0)&amp;""</f>
        <v xml:space="preserve"> Required Questions</v>
      </c>
      <c r="B17" s="22"/>
      <c r="C17" s="13" t="s">
        <v>21</v>
      </c>
      <c r="D17" s="13"/>
      <c r="E17" s="31" t="s">
        <v>23</v>
      </c>
      <c r="F17" s="183" t="s">
        <v>24</v>
      </c>
      <c r="I17" s="35"/>
      <c r="J17" s="35"/>
    </row>
    <row r="18" spans="1:10" s="1" customFormat="1" ht="108.5" thickBot="1" x14ac:dyDescent="0.3">
      <c r="A18" s="19" t="s">
        <v>39</v>
      </c>
      <c r="B18" s="18" t="str">
        <f>VLOOKUP($A18,Questions!$A$2:$X$333,2,0)</f>
        <v>Does your product or service have an interface?</v>
      </c>
      <c r="C18" s="72" t="str">
        <f>VLOOKUP($A18,'START HERE'!$A$23:$F$36,3,0)&amp;""</f>
        <v>Yes</v>
      </c>
      <c r="D18" s="308" t="str">
        <f>VLOOKUP($A18,'START HERE'!$A$23:$F$36,4,0)&amp;""</f>
        <v>Preservica's SaaS solutions are accessible via all modern web browsers over the internet, over TLS 1.2 or TLS 1.3 only. Preservica also exposes a documented set of REST APIs, publicly documented at https://developers.preservica.com/. Preservica has adopted WCAG 2.2 Level AA as its accessibility conformance standard; an accessibility statement and the current VPAT are available from Preservica's Trust Center at https://preservica.com/trust-center, and accessibility enquiries can be directed to accessibility@preservica.com.</v>
      </c>
      <c r="E18" s="163" t="str">
        <f>IF($C18='Auto Responses'!$J$3,VLOOKUP($A18,Questions!$A$2:$X$333,17,0)&amp;"",IF($C18='Auto Responses'!$J$4,VLOOKUP($A18,Questions!$A$2:$X$333,16,0)&amp;"",VLOOKUP($A18,Questions!$A$2:$X$333,15,0)&amp;""))</f>
        <v>DO complete the IT Accessibility worksheet.</v>
      </c>
      <c r="F18" s="197" t="str">
        <f>VLOOKUP($A18,'Institution Evaluation'!$A$56:$F$345,6,0)&amp;""</f>
        <v/>
      </c>
      <c r="G18" s="234" t="s">
        <v>36</v>
      </c>
      <c r="I18" s="35"/>
      <c r="J18" s="35"/>
    </row>
    <row r="19" spans="1:10" s="1" customFormat="1" ht="37.5" customHeight="1" thickBot="1" x14ac:dyDescent="0.3">
      <c r="A19" s="63" t="str">
        <f>VLOOKUP(LEFT($A20,4),'Auto Responses'!$N$4:$O$38,2,0)&amp;""</f>
        <v xml:space="preserve"> IT Accessibility</v>
      </c>
      <c r="B19" s="22"/>
      <c r="C19" s="13" t="s">
        <v>21</v>
      </c>
      <c r="D19" s="13" t="s">
        <v>22</v>
      </c>
      <c r="E19" s="31" t="s">
        <v>23</v>
      </c>
      <c r="F19" s="183" t="s">
        <v>24</v>
      </c>
      <c r="I19" s="35"/>
      <c r="J19" s="35"/>
    </row>
    <row r="20" spans="1:10" s="1" customFormat="1" ht="30" customHeight="1" x14ac:dyDescent="0.25">
      <c r="A20" s="19" t="s">
        <v>311</v>
      </c>
      <c r="B20" s="18" t="str">
        <f>VLOOKUP($A20,Questions!$A$2:$X$333,2,0)</f>
        <v>Solution Provider Accessibility Contact Name</v>
      </c>
      <c r="C20" s="77" t="s">
        <v>312</v>
      </c>
      <c r="D20" s="309"/>
      <c r="E20" s="163" t="str">
        <f>IF($C$18='Auto Responses'!$J$4,'Auto Responses'!$A$4,IF($C20='Auto Responses'!$J$3,VLOOKUP($A20,Questions!$A$2:$X$333,17,0)&amp;"",IF($C20='Auto Responses'!$J$4,VLOOKUP($A20,Questions!$A$2:$X$333,16,0)&amp;"",VLOOKUP($A20,Questions!$A$2:$X$333,15,0)&amp;"")))</f>
        <v/>
      </c>
      <c r="F20" s="197" t="str">
        <f>VLOOKUP($A20,'Institution Evaluation'!$A$56:$F$345,6,0)&amp;""</f>
        <v/>
      </c>
      <c r="I20" s="35"/>
      <c r="J20" s="35"/>
    </row>
    <row r="21" spans="1:10" s="1" customFormat="1" ht="30" customHeight="1" x14ac:dyDescent="0.25">
      <c r="A21" s="19" t="s">
        <v>313</v>
      </c>
      <c r="B21" s="18" t="str">
        <f>VLOOKUP($A21,Questions!$A$2:$X$333,2,0)</f>
        <v>Solution Provider Accessibility Contact Title</v>
      </c>
      <c r="C21" s="77" t="s">
        <v>312</v>
      </c>
      <c r="D21" s="309"/>
      <c r="E21" s="163" t="str">
        <f>IF($C$18='Auto Responses'!$J$4,'Auto Responses'!$A$4,IF($C21='Auto Responses'!$J$3,VLOOKUP($A21,Questions!$A$2:$X$333,17,0)&amp;"",IF($C21='Auto Responses'!$J$4,VLOOKUP($A21,Questions!$A$2:$X$333,16,0)&amp;"",VLOOKUP($A21,Questions!$A$2:$X$333,15,0)&amp;"")))</f>
        <v/>
      </c>
      <c r="F21" s="197" t="str">
        <f>VLOOKUP($A21,'Institution Evaluation'!$A$56:$F$345,6,0)&amp;""</f>
        <v/>
      </c>
      <c r="I21" s="35"/>
      <c r="J21" s="35"/>
    </row>
    <row r="22" spans="1:10" s="1" customFormat="1" ht="30" customHeight="1" x14ac:dyDescent="0.25">
      <c r="A22" s="19" t="s">
        <v>314</v>
      </c>
      <c r="B22" s="18" t="str">
        <f>VLOOKUP($A22,Questions!$A$2:$X$333,2,0)</f>
        <v>Solution Provider Accessibility Contact Email</v>
      </c>
      <c r="C22" s="357" t="s">
        <v>315</v>
      </c>
      <c r="D22" s="309"/>
      <c r="E22" s="163" t="str">
        <f>IF($C$18='Auto Responses'!$J$4,'Auto Responses'!$A$4,IF($C22='Auto Responses'!$J$3,VLOOKUP($A22,Questions!$A$2:$X$333,17,0)&amp;"",IF($C22='Auto Responses'!$J$4,VLOOKUP($A22,Questions!$A$2:$X$333,16,0)&amp;"",VLOOKUP($A22,Questions!$A$2:$X$333,15,0)&amp;"")))</f>
        <v/>
      </c>
      <c r="F22" s="197" t="str">
        <f>VLOOKUP($A22,'Institution Evaluation'!$A$56:$F$345,6,0)&amp;""</f>
        <v/>
      </c>
      <c r="I22" s="35"/>
      <c r="J22" s="35"/>
    </row>
    <row r="23" spans="1:10" s="1" customFormat="1" ht="30" customHeight="1" x14ac:dyDescent="0.25">
      <c r="A23" s="19" t="s">
        <v>316</v>
      </c>
      <c r="B23" s="18" t="str">
        <f>VLOOKUP($A23,Questions!$A$2:$X$333,2,0)</f>
        <v>Solution Provider Accessibility Contact Phone Number</v>
      </c>
      <c r="C23" s="77" t="s">
        <v>243</v>
      </c>
      <c r="D23" s="309"/>
      <c r="E23" s="163" t="str">
        <f>IF($C$18='Auto Responses'!$J$4,'Auto Responses'!$A$4,IF($C23='Auto Responses'!$J$3,VLOOKUP($A23,Questions!$A$2:$X$333,17,0)&amp;"",IF($C23='Auto Responses'!$J$4,VLOOKUP($A23,Questions!$A$2:$X$333,16,0)&amp;"",VLOOKUP($A23,Questions!$A$2:$X$333,15,0)&amp;"")))</f>
        <v/>
      </c>
      <c r="F23" s="197" t="str">
        <f>VLOOKUP($A23,'Institution Evaluation'!$A$56:$F$345,6,0)&amp;""</f>
        <v/>
      </c>
      <c r="I23" s="35"/>
      <c r="J23" s="35"/>
    </row>
    <row r="24" spans="1:10" s="1" customFormat="1" ht="30" customHeight="1" x14ac:dyDescent="0.25">
      <c r="A24" s="19" t="s">
        <v>317</v>
      </c>
      <c r="B24" s="18" t="str">
        <f>VLOOKUP($A24,Questions!$A$2:$X$333,2,0)</f>
        <v>Web Link to Accessibility Statement or VPAT</v>
      </c>
      <c r="C24" s="357" t="s">
        <v>318</v>
      </c>
      <c r="D24" s="309"/>
      <c r="E24" s="163" t="str">
        <f>IF($C$18='Auto Responses'!$J$4,'Auto Responses'!$A$4,IF($C24='Auto Responses'!$J$3,VLOOKUP($A24,Questions!$A$2:$X$333,17,0)&amp;"",IF($C24='Auto Responses'!$J$4,VLOOKUP($A24,Questions!$A$2:$X$333,16,0)&amp;"",VLOOKUP($A24,Questions!$A$2:$X$333,15,0)&amp;"")))</f>
        <v>VPAT can also be added as an attachment</v>
      </c>
      <c r="F24" s="197" t="str">
        <f>VLOOKUP($A24,'Institution Evaluation'!$A$56:$F$345,6,0)&amp;""</f>
        <v/>
      </c>
      <c r="I24" s="35"/>
      <c r="J24" s="35"/>
    </row>
    <row r="25" spans="1:10" s="1" customFormat="1" ht="67.5" x14ac:dyDescent="0.25">
      <c r="A25" s="19" t="s">
        <v>319</v>
      </c>
      <c r="B25" s="18" t="str">
        <f>VLOOKUP($A25,Questions!$A$2:$X$333,2,0)</f>
        <v>Has a VPAT or ACR been created or updated for the solution and version under consideration within the past 12 months?*</v>
      </c>
      <c r="C25" s="21" t="s">
        <v>26</v>
      </c>
      <c r="D25" s="360" t="s">
        <v>320</v>
      </c>
      <c r="E25" s="163" t="str">
        <f>IF($C$18='Auto Responses'!$J$4,'Auto Responses'!$A$4,IF($C25='Auto Responses'!$J$3,VLOOKUP($A25,Questions!$A$2:$X$333,17,0)&amp;"",IF($C25='Auto Responses'!$J$4,VLOOKUP($A25,Questions!$A$2:$X$333,16,0)&amp;"",VLOOKUP($A25,Questions!$A$2:$X$333,15,0)&amp;"")))</f>
        <v>State the date the VPAT was completed. Include this VPAT in your submission and/or link to its web location.</v>
      </c>
      <c r="F25" s="197" t="str">
        <f>VLOOKUP($A25,'Institution Evaluation'!$A$56:$F$345,6,0)&amp;""</f>
        <v/>
      </c>
      <c r="I25" s="35"/>
      <c r="J25" s="35"/>
    </row>
    <row r="26" spans="1:10" s="1" customFormat="1" ht="27" x14ac:dyDescent="0.25">
      <c r="A26" s="19" t="s">
        <v>321</v>
      </c>
      <c r="B26" s="18" t="str">
        <f>VLOOKUP($A26,Questions!$A$2:$X$333,2,0)</f>
        <v>Will your company agree to meet your stated accessibility standard or WCAG 2.1 AA as part of your contractual agreement for the solution?*</v>
      </c>
      <c r="C26" s="21" t="s">
        <v>26</v>
      </c>
      <c r="D26" s="309"/>
      <c r="E26" s="163" t="str">
        <f>IF($C$18='Auto Responses'!$J$4,'Auto Responses'!$A$4,IF($C26='Auto Responses'!$J$3,VLOOKUP($A26,Questions!$A$2:$X$333,17,0)&amp;"",IF($C26='Auto Responses'!$J$4,VLOOKUP($A26,Questions!$A$2:$X$333,16,0)&amp;"",VLOOKUP($A26,Questions!$A$2:$X$333,15,0)&amp;"")))</f>
        <v/>
      </c>
      <c r="F26" s="197" t="str">
        <f>VLOOKUP($A26,'Institution Evaluation'!$A$56:$F$345,6,0)&amp;""</f>
        <v/>
      </c>
      <c r="I26" s="35"/>
      <c r="J26" s="35"/>
    </row>
    <row r="27" spans="1:10" s="1" customFormat="1" ht="135" x14ac:dyDescent="0.25">
      <c r="A27" s="19" t="s">
        <v>322</v>
      </c>
      <c r="B27" s="18" t="str">
        <f>VLOOKUP($A27,Questions!$A$2:$X$333,2,0)</f>
        <v>Does the solution substantially conform to WCAG 2.1 AA?*</v>
      </c>
      <c r="C27" s="21" t="s">
        <v>26</v>
      </c>
      <c r="D27" s="309"/>
      <c r="E27" s="163" t="str">
        <f>IF($C$18='Auto Responses'!$J$4,'Auto Responses'!$A$4,IF($C27='Auto Responses'!$J$3,VLOOKUP($A27,Questions!$A$2:$X$333,17,0)&amp;"",IF($C27='Auto Responses'!$J$4,VLOOKUP($A27,Questions!$A$2:$X$333,16,0)&amp;"",VLOOKUP($A27,Questions!$A$2:$X$333,15,0)&amp;"")))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7" s="197" t="str">
        <f>VLOOKUP($A27,'Institution Evaluation'!$A$56:$F$345,6,0)&amp;""</f>
        <v/>
      </c>
      <c r="I27" s="35"/>
      <c r="J27" s="35"/>
    </row>
    <row r="28" spans="1:10" s="1" customFormat="1" ht="81" x14ac:dyDescent="0.25">
      <c r="A28" s="19" t="s">
        <v>323</v>
      </c>
      <c r="B28" s="18" t="str">
        <f>VLOOKUP($A28,Questions!$A$2:$X$333,2,0)</f>
        <v>Do you have a documented and implemented process for reporting and tracking accessibility issues?*</v>
      </c>
      <c r="C28" s="21" t="s">
        <v>26</v>
      </c>
      <c r="D28" s="309" t="s">
        <v>324</v>
      </c>
      <c r="E28" s="163" t="str">
        <f>IF($C$18='Auto Responses'!$J$4,'Auto Responses'!$A$4,IF($C28='Auto Responses'!$J$3,VLOOKUP($A28,Questions!$A$2:$X$333,17,0)&amp;"",IF($C28='Auto Responses'!$J$4,VLOOKUP($A28,Questions!$A$2:$X$333,16,0)&amp;"",VLOOKUP($A28,Questions!$A$2:$X$333,15,0)&amp;"")))</f>
        <v>Describe the process and any recent examples of fixes as a result of the process.</v>
      </c>
      <c r="F28" s="197" t="str">
        <f>VLOOKUP($A28,'Institution Evaluation'!$A$56:$F$345,6,0)&amp;""</f>
        <v/>
      </c>
      <c r="I28" s="35"/>
      <c r="J28" s="35"/>
    </row>
    <row r="29" spans="1:10" s="1" customFormat="1" ht="105" x14ac:dyDescent="0.25">
      <c r="A29" s="19" t="s">
        <v>325</v>
      </c>
      <c r="B29" s="18" t="str">
        <f>VLOOKUP($A29,Questions!$A$2:$X$333,2,0)</f>
        <v>Do you have documentation to support the accessibility features of your solution?</v>
      </c>
      <c r="C29" s="21" t="s">
        <v>26</v>
      </c>
      <c r="D29" s="364" t="s">
        <v>326</v>
      </c>
      <c r="E29" s="163" t="str">
        <f>IF($C$18='Auto Responses'!$J$4,'Auto Responses'!$A$4,IF($C29='Auto Responses'!$J$3,VLOOKUP($A29,Questions!$A$2:$X$333,17,0)&amp;"",IF($C29='Auto Responses'!$J$4,VLOOKUP($A29,Questions!$A$2:$X$333,16,0)&amp;"",VLOOKUP($A29,Questions!$A$2:$X$333,15,0)&amp;"")))</f>
        <v>Provide examples with links where possible.</v>
      </c>
      <c r="F29" s="197" t="str">
        <f>VLOOKUP($A29,'Institution Evaluation'!$A$56:$F$345,6,0)&amp;""</f>
        <v/>
      </c>
      <c r="I29" s="35"/>
      <c r="J29" s="35"/>
    </row>
    <row r="30" spans="1:10" s="1" customFormat="1" ht="54" x14ac:dyDescent="0.25">
      <c r="A30" s="19" t="s">
        <v>327</v>
      </c>
      <c r="B30" s="18" t="str">
        <f>VLOOKUP($A30,Questions!$A$2:$X$333,2,0)</f>
        <v>Has a third-party expert conducted an audit of the most recent version of your solution?</v>
      </c>
      <c r="C30" s="21" t="s">
        <v>46</v>
      </c>
      <c r="D30" s="360" t="s">
        <v>151</v>
      </c>
      <c r="E30" s="163" t="str">
        <f>IF($C$18='Auto Responses'!$J$4,'Auto Responses'!$A$4,IF($C30='Auto Responses'!$J$3,VLOOKUP($A30,Questions!$A$2:$X$333,17,0)&amp;"",IF($C30='Auto Responses'!$J$4,VLOOKUP($A30,Questions!$A$2:$X$333,16,0)&amp;"",VLOOKUP($A30,Questions!$A$2:$X$333,15,0)&amp;"")))</f>
        <v>Please provide plans (when and by whom) of any planned audit, or a rationale if no third-party audit is planned.</v>
      </c>
      <c r="F30" s="197" t="str">
        <f>VLOOKUP($A30,'Institution Evaluation'!$A$56:$F$345,6,0)&amp;""</f>
        <v/>
      </c>
      <c r="I30" s="35"/>
      <c r="J30" s="35"/>
    </row>
    <row r="31" spans="1:10" s="1" customFormat="1" ht="40.5" x14ac:dyDescent="0.25">
      <c r="A31" s="19" t="s">
        <v>328</v>
      </c>
      <c r="B31" s="18" t="str">
        <f>VLOOKUP($A31,Questions!$A$2:$X$333,2,0)</f>
        <v>Do you have a documented and implemented process for verifying accessibility conformance?</v>
      </c>
      <c r="C31" s="21" t="s">
        <v>26</v>
      </c>
      <c r="D31" s="309" t="s">
        <v>329</v>
      </c>
      <c r="E31" s="163" t="str">
        <f>IF($C$18='Auto Responses'!$J$4,'Auto Responses'!$A$4,IF($C31='Auto Responses'!$J$3,VLOOKUP($A31,Questions!$A$2:$X$333,17,0)&amp;"",IF($C31='Auto Responses'!$J$4,VLOOKUP($A31,Questions!$A$2:$X$333,16,0)&amp;"",VLOOKUP($A31,Questions!$A$2:$X$333,15,0)&amp;"")))</f>
        <v>Describe your processes and methodologies for validating accessibility conformance.</v>
      </c>
      <c r="F31" s="197" t="str">
        <f>VLOOKUP($A31,'Institution Evaluation'!$A$56:$F$345,6,0)&amp;""</f>
        <v/>
      </c>
      <c r="I31" s="35"/>
      <c r="J31" s="35"/>
    </row>
    <row r="32" spans="1:10" s="1" customFormat="1" ht="67.5" x14ac:dyDescent="0.25">
      <c r="A32" s="19" t="s">
        <v>330</v>
      </c>
      <c r="B32" s="18" t="str">
        <f>VLOOKUP($A32,Questions!$A$2:$X$333,2,0)</f>
        <v>Have you adopted a technical or legal standard of conformance for the solution?</v>
      </c>
      <c r="C32" s="21" t="s">
        <v>26</v>
      </c>
      <c r="D32" s="309" t="s">
        <v>331</v>
      </c>
      <c r="E32" s="163" t="str">
        <f>IF($C$18='Auto Responses'!$J$4,'Auto Responses'!$A$4,IF($C32='Auto Responses'!$J$3,VLOOKUP($A32,Questions!$A$2:$X$333,17,0)&amp;"",IF($C32='Auto Responses'!$J$4,VLOOKUP($A32,Questions!$A$2:$X$333,16,0)&amp;"",VLOOKUP($A32,Questions!$A$2:$X$333,15,0)&amp;"")))</f>
        <v>Indicate which primary standards and all additional standards the solution meets.</v>
      </c>
      <c r="F32" s="197" t="str">
        <f>VLOOKUP($A32,'Institution Evaluation'!$A$56:$F$345,6,0)&amp;""</f>
        <v/>
      </c>
      <c r="I32" s="35"/>
      <c r="J32" s="35"/>
    </row>
    <row r="33" spans="1:12" s="1" customFormat="1" ht="54" x14ac:dyDescent="0.25">
      <c r="A33" s="19" t="s">
        <v>332</v>
      </c>
      <c r="B33" s="18" t="str">
        <f>VLOOKUP($A33,Questions!$A$2:$X$333,2,0)</f>
        <v>Can you provide a current, detailed accessibility roadmap with delivery timelines?</v>
      </c>
      <c r="C33" s="21" t="s">
        <v>26</v>
      </c>
      <c r="D33" s="365" t="s">
        <v>333</v>
      </c>
      <c r="E33" s="163" t="str">
        <f>IF($C$18='Auto Responses'!$J$4,'Auto Responses'!$A$4,IF($C33='Auto Responses'!$J$3,VLOOKUP($A33,Questions!$A$2:$X$333,17,0)&amp;"",IF($C33='Auto Responses'!$J$4,VLOOKUP($A33,Questions!$A$2:$X$333,16,0)&amp;"",VLOOKUP($A33,Questions!$A$2:$X$333,15,0)&amp;"")))</f>
        <v>Comment on how far into the future the roadmap extends. Provide evidence (including links) of having delivered upon the accessibility roadmap in the past.</v>
      </c>
      <c r="F33" s="197" t="str">
        <f>VLOOKUP($A33,'Institution Evaluation'!$A$56:$F$345,6,0)&amp;""</f>
        <v/>
      </c>
      <c r="I33" s="35"/>
      <c r="J33" s="35"/>
    </row>
    <row r="34" spans="1:12" s="1" customFormat="1" ht="108" x14ac:dyDescent="0.25">
      <c r="A34" s="19" t="s">
        <v>334</v>
      </c>
      <c r="B34" s="18" t="str">
        <f>VLOOKUP($A34,Questions!$A$2:$X$333,2,0)</f>
        <v>Do you expect your staff to maintain a current skill set in IT accessibility?</v>
      </c>
      <c r="C34" s="21" t="s">
        <v>26</v>
      </c>
      <c r="D34" s="309" t="s">
        <v>335</v>
      </c>
      <c r="E34" s="163" t="str">
        <f>IF($C$18='Auto Responses'!$J$4,'Auto Responses'!$A$4,IF($C34='Auto Responses'!$J$3,VLOOKUP($A34,Questions!$A$2:$X$333,17,0)&amp;"",IF($C34='Auto Responses'!$J$4,VLOOKUP($A34,Questions!$A$2:$X$333,16,0)&amp;"",VLOOKUP($A34,Questions!$A$2:$X$333,15,0)&amp;"")))</f>
        <v>Provide any further relevant information about how expertise is maintained; include any accessibility certifications staff may hold (e.g., IAAP WAS &lt;https://www.accessibilityassociation.org/certifications&gt; or DHS Trusted Tester &lt;https://section508.gov/test/trusted-tester&gt;).</v>
      </c>
      <c r="F34" s="197" t="str">
        <f>VLOOKUP($A34,'Institution Evaluation'!$A$56:$F$345,6,0)&amp;""</f>
        <v/>
      </c>
      <c r="I34" s="35"/>
      <c r="J34" s="35"/>
    </row>
    <row r="35" spans="1:12" s="1" customFormat="1" ht="135" x14ac:dyDescent="0.25">
      <c r="A35" s="19" t="s">
        <v>336</v>
      </c>
      <c r="B35" s="18" t="str">
        <f>VLOOKUP($A35,Questions!$A$2:$X$333,2,0)</f>
        <v>Do you have documented processes and procedures for implementing accessibility into your development lifecycle?</v>
      </c>
      <c r="C35" s="21" t="s">
        <v>26</v>
      </c>
      <c r="D35" s="309" t="s">
        <v>337</v>
      </c>
      <c r="E35" s="163" t="str">
        <f>IF($C$18='Auto Responses'!$J$4,'Auto Responses'!$A$4,IF($C35='Auto Responses'!$J$3,VLOOKUP($A35,Questions!$A$2:$X$333,17,0)&amp;"",IF($C35='Auto Responses'!$J$4,VLOOKUP($A35,Questions!$A$2:$X$333,16,0)&amp;"",VLOOKUP($A35,Questions!$A$2:$X$333,15,0)&amp;"")))</f>
        <v>Provide further details in Additional Information.</v>
      </c>
      <c r="F35" s="197" t="str">
        <f>VLOOKUP($A35,'Institution Evaluation'!$A$56:$F$345,6,0)&amp;""</f>
        <v/>
      </c>
      <c r="I35" s="35"/>
      <c r="J35" s="35"/>
    </row>
    <row r="36" spans="1:12" s="1" customFormat="1" ht="94.5" x14ac:dyDescent="0.25">
      <c r="A36" s="19" t="s">
        <v>338</v>
      </c>
      <c r="B36" s="18" t="str">
        <f>VLOOKUP($A36,Questions!$A$2:$X$333,2,0)</f>
        <v>Can all functions of the application or service be performed using only the keyboard?</v>
      </c>
      <c r="C36" s="21" t="s">
        <v>46</v>
      </c>
      <c r="D36" s="360" t="s">
        <v>339</v>
      </c>
      <c r="E36" s="163" t="str">
        <f>IF($C$18='Auto Responses'!$J$4,'Auto Responses'!$A$4,IF($C36='Auto Responses'!$J$3,VLOOKUP($A36,Questions!$A$2:$X$333,17,0)&amp;"",IF($C36='Auto Responses'!$J$4,VLOOKUP($A36,Questions!$A$2:$X$333,16,0)&amp;"",VLOOKUP($A36,Questions!$A$2:$X$333,15,0)&amp;"")))</f>
        <v>Indicate a plan to test the solution; develop a roadmap for keyboard accessibility or any further context.</v>
      </c>
      <c r="F36" s="197" t="str">
        <f>VLOOKUP($A36,'Institution Evaluation'!$A$56:$F$345,6,0)&amp;""</f>
        <v/>
      </c>
      <c r="I36" s="35"/>
      <c r="J36" s="35"/>
    </row>
    <row r="37" spans="1:12" s="1" customFormat="1" ht="108" x14ac:dyDescent="0.25">
      <c r="A37" s="19" t="s">
        <v>340</v>
      </c>
      <c r="B37" s="18" t="str">
        <f>VLOOKUP($A37,Questions!$A$2:$X$333,2,0)</f>
        <v>Does your product rely on activating a special "accessibility mode," a "lite version," or using an alternate interface (including “overlay” or AI-based alternates)  for accessibility purposes?</v>
      </c>
      <c r="C37" s="21" t="s">
        <v>46</v>
      </c>
      <c r="D37" s="360"/>
      <c r="E37" s="163" t="str">
        <f>IF($C$18='Auto Responses'!$J$4,'Auto Responses'!$A$4,IF($C37='Auto Responses'!$J$3,VLOOKUP($A37,Questions!$A$2:$X$333,17,0)&amp;"",IF($C37='Auto Responses'!$J$4,VLOOKUP($A37,Questions!$A$2:$X$333,16,0)&amp;"",VLOOKUP($A37,Questions!$A$2:$X$333,15,0)&amp;"")))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37" s="197" t="str">
        <f>VLOOKUP($A37,'Institution Evaluation'!$A$56:$F$345,6,0)&amp;""</f>
        <v/>
      </c>
      <c r="G37" s="234" t="s">
        <v>36</v>
      </c>
      <c r="I37" s="35"/>
      <c r="J37" s="35"/>
    </row>
    <row r="38" spans="1:12" s="167" customFormat="1" ht="42" customHeight="1" x14ac:dyDescent="0.25">
      <c r="A38" s="263" t="s">
        <v>54</v>
      </c>
      <c r="B38" s="249"/>
      <c r="C38" s="250"/>
      <c r="D38" s="310"/>
      <c r="E38" s="252"/>
      <c r="F38" s="253"/>
      <c r="G38" s="254"/>
      <c r="I38" s="168"/>
      <c r="J38" s="168"/>
    </row>
    <row r="39" spans="1:12" s="1" customFormat="1" ht="15" hidden="1" customHeight="1" x14ac:dyDescent="0.25">
      <c r="A39"/>
      <c r="C39" s="8"/>
      <c r="D39" s="9"/>
      <c r="E39" s="10"/>
      <c r="I39" s="35"/>
      <c r="J39" s="35"/>
    </row>
    <row r="40" spans="1:12" ht="15" hidden="1" customHeight="1" x14ac:dyDescent="0.25">
      <c r="A40" s="1"/>
      <c r="B40" s="8"/>
      <c r="C40" s="71"/>
      <c r="D40" s="10"/>
      <c r="E40" s="1"/>
      <c r="H40" s="35"/>
      <c r="I40" s="1"/>
      <c r="J40" s="1"/>
      <c r="L40"/>
    </row>
    <row r="41" spans="1:12" ht="0" hidden="1" customHeight="1" x14ac:dyDescent="0.25">
      <c r="A41" s="19" t="e">
        <f>#REF!</f>
        <v>#REF!</v>
      </c>
    </row>
    <row r="42" spans="1:12" ht="0" hidden="1" customHeight="1" x14ac:dyDescent="0.25">
      <c r="A42" s="19" t="e">
        <f>#REF!</f>
        <v>#REF!</v>
      </c>
    </row>
    <row r="43" spans="1:12" ht="0" hidden="1" customHeight="1" x14ac:dyDescent="0.25">
      <c r="A43" s="19" t="e">
        <f>#REF!</f>
        <v>#REF!</v>
      </c>
    </row>
    <row r="44" spans="1:12" ht="0" hidden="1" customHeight="1" x14ac:dyDescent="0.25">
      <c r="A44" s="19" t="e">
        <f>#REF!</f>
        <v>#REF!</v>
      </c>
    </row>
    <row r="45" spans="1:12" ht="0" hidden="1" customHeight="1" x14ac:dyDescent="0.25">
      <c r="A45" s="19" t="e">
        <f>#REF!</f>
        <v>#REF!</v>
      </c>
    </row>
    <row r="46" spans="1:12" ht="0" hidden="1" customHeight="1" x14ac:dyDescent="0.25">
      <c r="A46" s="19" t="e">
        <f>#REF!</f>
        <v>#REF!</v>
      </c>
    </row>
    <row r="47" spans="1:12" ht="0" hidden="1" customHeight="1" x14ac:dyDescent="0.25">
      <c r="A47" s="19" t="e">
        <f>#REF!</f>
        <v>#REF!</v>
      </c>
    </row>
  </sheetData>
  <dataValidations count="3">
    <dataValidation allowBlank="1" showInputMessage="1" showErrorMessage="1" promptTitle="Warning!" prompt="The HECVAT is built using a number of complex formulas. Editing this cell can break the functionality of the tool. " sqref="D13:F16 A3:A38 C19:D19 C17:D17 C4:F12 C2:F2 D3:F3 B2:B38 E17:F37" xr:uid="{0F8CA259-A20F-44D0-B056-D4E572BCC26C}"/>
    <dataValidation allowBlank="1" showInputMessage="1" showErrorMessage="1" prompt="This cell should be left blank. Input your answer in column C." sqref="D20:D24" xr:uid="{BB71BC20-D71A-4329-9EB7-BB86EEEA3672}"/>
    <dataValidation allowBlank="1" showInputMessage="1" showErrorMessage="1" prompt="This answer has been populated from the &quot;START HERE&quot; tab and does not need to be re-entered." sqref="C18 C13:C16 C3" xr:uid="{909D3885-6C61-4775-AC6D-531E34A7A2D5}"/>
  </dataValidations>
  <hyperlinks>
    <hyperlink ref="A11" r:id="rId1" display="http://www.educause.edu/HECVAT" xr:uid="{5A6CDD08-3A9C-4C08-90F5-EFD4549B7006}"/>
    <hyperlink ref="C22" r:id="rId2" xr:uid="{A0609472-C612-44EE-A730-6DDDE5F50B26}"/>
    <hyperlink ref="C24" r:id="rId3" xr:uid="{2A78E66F-E14C-4A8C-90D8-169CC991081F}"/>
    <hyperlink ref="D29" r:id="rId4" xr:uid="{6069F025-1933-4A2D-8E99-68AC0BD5238B}"/>
    <hyperlink ref="D33" r:id="rId5" xr:uid="{88C8926E-E653-4ED0-AE84-926EF047CBEC}"/>
  </hyperlinks>
  <pageMargins left="0.75" right="0.75" top="1" bottom="1" header="0.5" footer="0.5"/>
  <pageSetup orientation="landscape" r:id="rId6"/>
  <headerFooter>
    <oddFooter>&amp;L&amp;"Helvetica,Regular"&amp;12&amp;K000000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139FE42-BF81-465B-92BD-7BBE9E45A1ED}">
          <x14:formula1>
            <xm:f>'Auto Responses'!$J$3:$J$4</xm:f>
          </x14:formula1>
          <xm:sqref>C25:C38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9BCC-22A6-402F-9D9B-7BE4A2C8BA87}">
  <sheetPr>
    <tabColor rgb="FF00636C"/>
  </sheetPr>
  <dimension ref="A1:L94"/>
  <sheetViews>
    <sheetView showGridLines="0" showZeros="0" topLeftCell="A76" zoomScale="150" zoomScaleNormal="150" workbookViewId="0">
      <selection activeCell="A2" sqref="A2"/>
    </sheetView>
  </sheetViews>
  <sheetFormatPr defaultColWidth="0" defaultRowHeight="0" customHeight="1" zeroHeight="1" x14ac:dyDescent="0.25"/>
  <cols>
    <col min="1" max="1" width="8.265625" customWidth="1"/>
    <col min="2" max="2" width="55.1328125" style="1" customWidth="1"/>
    <col min="3" max="3" width="18.86328125" style="8" customWidth="1"/>
    <col min="4" max="4" width="55.59765625" style="9" customWidth="1"/>
    <col min="5" max="5" width="32" style="10" customWidth="1"/>
    <col min="6" max="6" width="32" style="1" customWidth="1"/>
    <col min="7" max="7" width="18.1328125" style="1" customWidth="1"/>
    <col min="8" max="8" width="18.1328125" style="1" hidden="1" customWidth="1"/>
    <col min="9" max="10" width="18.1328125" style="35" hidden="1" customWidth="1"/>
    <col min="11" max="11" width="4.46484375" style="1" hidden="1" customWidth="1"/>
    <col min="12" max="12" width="6.59765625" style="1" hidden="1" customWidth="1"/>
    <col min="13" max="16384" width="6.59765625" hidden="1"/>
  </cols>
  <sheetData>
    <row r="1" spans="1:10" ht="0" hidden="1" customHeight="1" x14ac:dyDescent="0.25">
      <c r="A1" t="s">
        <v>0</v>
      </c>
    </row>
    <row r="2" spans="1:10" ht="36" customHeight="1" x14ac:dyDescent="0.25">
      <c r="A2" s="164" t="s">
        <v>341</v>
      </c>
      <c r="B2" s="164"/>
      <c r="C2" s="165"/>
      <c r="D2" s="304"/>
      <c r="E2" s="166"/>
      <c r="F2" s="166" t="str">
        <f>'Auto Responses'!$A$36</f>
        <v>Version 4.1.5</v>
      </c>
      <c r="J2" s="1"/>
    </row>
    <row r="3" spans="1:10" s="1" customFormat="1" ht="29.25" customHeight="1" x14ac:dyDescent="0.25">
      <c r="A3" s="37" t="s">
        <v>2</v>
      </c>
      <c r="B3" s="38"/>
      <c r="C3" s="66">
        <f>'START HERE'!$C$3</f>
        <v>46255</v>
      </c>
      <c r="D3" s="305"/>
      <c r="E3" s="36"/>
      <c r="F3" s="50"/>
      <c r="I3" s="35"/>
    </row>
    <row r="4" spans="1:10" s="1" customFormat="1" ht="36" customHeight="1" x14ac:dyDescent="0.25">
      <c r="A4" s="11" t="s">
        <v>3</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6"/>
      <c r="E5" s="16"/>
      <c r="F5" s="257"/>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6"/>
      <c r="E6" s="16"/>
      <c r="F6" s="258"/>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6"/>
      <c r="E7" s="16"/>
      <c r="F7" s="258"/>
      <c r="I7" s="35"/>
    </row>
    <row r="8" spans="1:10" s="1" customFormat="1" ht="19.5" customHeight="1" x14ac:dyDescent="0.25">
      <c r="A8" s="42" t="str">
        <f>HLOOKUP($A$4,'Auto Responses'!$D$2:$D$8,5,0)&amp;""</f>
        <v>4. DO NOT complete any fields in the "Evaluation" sheets or the "Analyst Notes" column.</v>
      </c>
      <c r="B8" s="16"/>
      <c r="C8" s="67"/>
      <c r="D8" s="306"/>
      <c r="E8" s="16"/>
      <c r="F8" s="258"/>
      <c r="I8" s="35"/>
    </row>
    <row r="9" spans="1:10" s="1" customFormat="1" ht="19.5" customHeight="1" x14ac:dyDescent="0.25">
      <c r="A9" s="42" t="str">
        <f>HLOOKUP($A$4,'Auto Responses'!$D$2:$D$8,6,0)&amp;""</f>
        <v>5. Return the completed file to institutions.</v>
      </c>
      <c r="B9" s="16"/>
      <c r="C9" s="67"/>
      <c r="D9" s="306"/>
      <c r="E9" s="16"/>
      <c r="F9" s="258"/>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6"/>
      <c r="E10" s="16"/>
      <c r="F10" s="258"/>
      <c r="I10" s="35"/>
    </row>
    <row r="11" spans="1:10" s="1" customFormat="1" ht="19.5" customHeight="1" x14ac:dyDescent="0.25">
      <c r="A11" s="242" t="str">
        <f>HLOOKUP($A$4,'Auto Responses'!$D$2:$D$9,8,0)&amp;""</f>
        <v>For full instructions, please visit educause.edu/HECVAT</v>
      </c>
      <c r="B11" s="16"/>
      <c r="C11" s="67"/>
      <c r="D11" s="306"/>
      <c r="E11" s="16"/>
      <c r="F11" s="259"/>
      <c r="I11" s="35"/>
    </row>
    <row r="12" spans="1:10" s="1" customFormat="1" ht="36" customHeight="1" x14ac:dyDescent="0.25">
      <c r="A12" s="63" t="str">
        <f>VLOOKUP(LEFT($A13,4),'Auto Responses'!$N$4:$O$38,2,0)&amp;""</f>
        <v xml:space="preserve"> General Information</v>
      </c>
      <c r="B12" s="12"/>
      <c r="C12" s="13" t="s">
        <v>21</v>
      </c>
      <c r="D12" s="307"/>
      <c r="E12" s="17"/>
      <c r="F12" s="17"/>
      <c r="I12" s="35"/>
      <c r="J12" s="35"/>
    </row>
    <row r="13" spans="1:10" s="1" customFormat="1" ht="22.5" customHeight="1" x14ac:dyDescent="0.25">
      <c r="A13" s="19" t="s">
        <v>4</v>
      </c>
      <c r="B13" s="20" t="str">
        <f>VLOOKUP($A13,Questions!$A$2:$X$333,2,0)&amp;""</f>
        <v>Solution Provider Name</v>
      </c>
      <c r="C13" s="76" t="str">
        <f>VLOOKUP($A13,'START HERE'!$A$13:$C$21,3,0)&amp;""</f>
        <v>Preservica Inc</v>
      </c>
      <c r="D13" s="32"/>
      <c r="E13" s="32"/>
      <c r="F13" s="50"/>
      <c r="I13" s="35"/>
      <c r="J13" s="35"/>
    </row>
    <row r="14" spans="1:10" s="1" customFormat="1" ht="22.5" customHeight="1" x14ac:dyDescent="0.25">
      <c r="A14" s="19" t="s">
        <v>6</v>
      </c>
      <c r="B14" s="20" t="str">
        <f>VLOOKUP($A14,Questions!$A$2:$X$333,2,0)&amp;""</f>
        <v>Solution Name</v>
      </c>
      <c r="C14" s="76" t="str">
        <f>VLOOKUP($A14,'START HERE'!$A$13:$C$21,3,0)&amp;""</f>
        <v>Preservica Pro, Preservica Pro Plus, Preservica Enterprise, Preservica Enterprise Plus - v9.x</v>
      </c>
      <c r="D14" s="32"/>
      <c r="E14" s="32"/>
      <c r="F14" s="50"/>
      <c r="I14" s="35"/>
      <c r="J14" s="35"/>
    </row>
    <row r="15" spans="1:10" s="1" customFormat="1" ht="22.5" customHeight="1" x14ac:dyDescent="0.25">
      <c r="A15" s="19" t="s">
        <v>8</v>
      </c>
      <c r="B15" s="20" t="str">
        <f>VLOOKUP($A15,Questions!$A$2:$X$333,2,0)&amp;""</f>
        <v>Solution Description</v>
      </c>
      <c r="C15" s="76" t="str">
        <f>VLOOKUP($A15,'START HERE'!$A$13:$C$21,3,0)&amp;""</f>
        <v>Preservica combines all the core requirements for successful long-term active digital preservation – including public and secure access - into a single integrated application that can be quickly deployed and hosted in the cloud.</v>
      </c>
      <c r="D15" s="32"/>
      <c r="E15" s="32"/>
      <c r="F15" s="50"/>
      <c r="I15" s="35"/>
      <c r="J15" s="35"/>
    </row>
    <row r="16" spans="1:10" s="1" customFormat="1" ht="22.5" customHeight="1" thickBot="1" x14ac:dyDescent="0.3">
      <c r="A16" s="19" t="s">
        <v>17</v>
      </c>
      <c r="B16" s="20" t="str">
        <f>VLOOKUP($A16,Questions!$A$2:$X$333,2,0)&amp;""</f>
        <v>Country of Company Headquarters</v>
      </c>
      <c r="C16" s="76" t="str">
        <f>VLOOKUP($A16,'START HERE'!$A$13:$C$21,3,0)&amp;""</f>
        <v>UK</v>
      </c>
      <c r="D16" s="32"/>
      <c r="E16" s="32"/>
      <c r="F16" s="50"/>
      <c r="I16" s="35"/>
      <c r="J16" s="35"/>
    </row>
    <row r="17" spans="1:10" s="1" customFormat="1" ht="37.5" customHeight="1" thickBot="1" x14ac:dyDescent="0.3">
      <c r="A17" s="63" t="str">
        <f>VLOOKUP(LEFT($A18,4),'Auto Responses'!$N$4:$O$38,2,0)&amp;""</f>
        <v xml:space="preserve"> Required Questions</v>
      </c>
      <c r="B17" s="22"/>
      <c r="C17" s="13" t="s">
        <v>21</v>
      </c>
      <c r="D17" s="13" t="s">
        <v>22</v>
      </c>
      <c r="E17" s="31" t="s">
        <v>23</v>
      </c>
      <c r="F17" s="183" t="s">
        <v>24</v>
      </c>
      <c r="I17" s="35"/>
      <c r="J17" s="35"/>
    </row>
    <row r="18" spans="1:10" s="1" customFormat="1" ht="38.25" customHeight="1" x14ac:dyDescent="0.25">
      <c r="A18" s="19" t="s">
        <v>41</v>
      </c>
      <c r="B18" s="18" t="str">
        <f>VLOOKUP($A18,Questions!$A$2:$X$333,2,0)</f>
        <v>Are you providing consulting services?</v>
      </c>
      <c r="C18" s="73" t="str">
        <f>VLOOKUP($A18,'START HERE'!$A$23:$F$36,3,0)&amp;""</f>
        <v>Yes</v>
      </c>
      <c r="D18" s="311" t="str">
        <f>VLOOKUP($A18,'START HERE'!$A$23:$F$36,4,0)&amp;""</f>
        <v>Preservica refers to these as Professional Services.</v>
      </c>
      <c r="E18" s="163" t="str">
        <f>IF($C18='Auto Responses'!$J$3,VLOOKUP($A18,Questions!$A$2:$X$333,17,0)&amp;"",IF($C18='Auto Responses'!$J$4,VLOOKUP($A18,Questions!$A$2:$X$333,16,0)&amp;"",VLOOKUP($A18,Questions!$A$2:$X$333,15,0)&amp;""))</f>
        <v>DO complete the Consulting section in the Case-Specific worksheet</v>
      </c>
      <c r="F18" s="197" t="str">
        <f>VLOOKUP($A18,'Institution Evaluation'!$A$56:$F$345,6,0)&amp;""</f>
        <v/>
      </c>
      <c r="I18" s="35"/>
      <c r="J18" s="35"/>
    </row>
    <row r="19" spans="1:10" s="1" customFormat="1" ht="51.75" customHeight="1" x14ac:dyDescent="0.25">
      <c r="A19" s="19" t="s">
        <v>45</v>
      </c>
      <c r="B19" s="18" t="str">
        <f>VLOOKUP($A19,Questions!$A$2:$X$333,2,0)</f>
        <v>Does your solution process protected health information (PHI) or any data covered by the Health Insurance Portability and Accountability Act (HIPAA)?</v>
      </c>
      <c r="C19" s="73" t="str">
        <f>VLOOKUP($A19,'START HERE'!$A$23:$F$36,3,0)&amp;""</f>
        <v>No</v>
      </c>
      <c r="D19" s="311" t="str">
        <f>VLOOKUP($A19,'START HERE'!$A$23:$F$36,4,0)&amp;""</f>
        <v>Preservica is not designed specifically for the processing of protected health information and does not currently offer a Business Associate Agreement. Customers determine what content they ingest and remain responsible for ensuring it is permitted under their own regulatory obligations.</v>
      </c>
      <c r="E19" s="163" t="str">
        <f>IF($C19='Auto Responses'!$J$3,VLOOKUP($A19,Questions!$A$2:$X$333,17,0)&amp;"",IF($C19='Auto Responses'!$J$4,VLOOKUP($A19,Questions!$A$2:$X$333,16,0)&amp;"",VLOOKUP($A19,Questions!$A$2:$X$333,15,0)&amp;""))</f>
        <v>DO NOT complete the HIPAA section in the Case-Specific worksheet</v>
      </c>
      <c r="F19" s="197" t="str">
        <f>VLOOKUP($A19,'Institution Evaluation'!$A$56:$F$345,6,0)&amp;""</f>
        <v/>
      </c>
      <c r="I19" s="35"/>
      <c r="J19" s="35"/>
    </row>
    <row r="20" spans="1:10" s="1" customFormat="1" ht="67.5" x14ac:dyDescent="0.25">
      <c r="A20" s="19" t="s">
        <v>47</v>
      </c>
      <c r="B20" s="18" t="str">
        <f>VLOOKUP($A20,Questions!$A$2:$X$333,2,0)</f>
        <v>Is the solution designed to process, store, or transmit credit card information?</v>
      </c>
      <c r="C20" s="73" t="str">
        <f>VLOOKUP($A20,'START HERE'!$A$23:$F$36,3,0)&amp;""</f>
        <v>No</v>
      </c>
      <c r="D20" s="311" t="str">
        <f>VLOOKUP($A20,'START HERE'!$A$23:$F$36,4,0)&amp;""</f>
        <v>The solution is not designed to process, store or transmit credit card information, and Preservica's service is not PCI-DSS compliant, as there is not normally a case for digital preservation of Cardholder Data as defined in PCI-DSS. Customers should not store any such data within the service.</v>
      </c>
      <c r="E20" s="163" t="str">
        <f>IF($C20='Auto Responses'!$J$3,VLOOKUP($A20,Questions!$A$2:$X$333,17,0)&amp;"",IF($C20='Auto Responses'!$J$4,VLOOKUP($A20,Questions!$A$2:$X$333,16,0)&amp;"",VLOOKUP($A20,Questions!$A$2:$X$333,15,0)&amp;""))</f>
        <v>DO NOT complete the PCI-DSS section in the Case-Specific worksheet</v>
      </c>
      <c r="F20" s="197" t="str">
        <f>VLOOKUP($A20,'Institution Evaluation'!$A$56:$F$345,6,0)&amp;""</f>
        <v/>
      </c>
      <c r="I20" s="35"/>
      <c r="J20" s="35"/>
    </row>
    <row r="21" spans="1:10" s="1" customFormat="1" ht="149" thickBot="1" x14ac:dyDescent="0.3">
      <c r="A21" s="19" t="s">
        <v>49</v>
      </c>
      <c r="B21" s="18" t="str">
        <f>VLOOKUP($A21,Questions!$A$2:$X$333,2,0)</f>
        <v>Does operating your solution require the institution to operate a physical or virtual appliance in their own environment or to provide inbound firewall exceptions to allow your employees to remotely administer systems in the institution's environment?</v>
      </c>
      <c r="C21" s="73" t="str">
        <f>VLOOKUP($A21,'START HERE'!$A$23:$F$36,3,0)&amp;""</f>
        <v>No</v>
      </c>
      <c r="D21" s="311" t="str">
        <f>VLOOKUP($A21,'START HERE'!$A$23:$F$36,4,0)&amp;""</f>
        <v>Preservica is delivered as a cloud-hosted SaaS service accessed over HTTPS from the user's web browser or via Preservica's documented REST APIs. No physical or virtual appliance is deployed in the institution's environment, and no inbound firewall exception in the institution's environment is required for Preservica personnel to administer the service. Preservica administers only its own hosted infrastructure. Under Preservica's Shared Responsibility Model the institution remains responsible for endpoint protection on the devices used to access the service: https://website-assets.preservica.com/production/resources/Shared-Responsibility-Model-Global-v1.1.pdf</v>
      </c>
      <c r="E21" s="163" t="str">
        <f>IF($C21='Auto Responses'!$J$3,VLOOKUP($A21,Questions!$A$2:$X$333,17,0)&amp;"",IF($C21='Auto Responses'!$J$4,VLOOKUP($A21,Questions!$A$2:$X$333,16,0)&amp;"",VLOOKUP($A21,Questions!$A$2:$X$333,15,0)&amp;""))</f>
        <v>DO NOT complete the On-Prem section in the Case-Specific worksheet</v>
      </c>
      <c r="F21" s="197" t="str">
        <f>VLOOKUP($A21,'Institution Evaluation'!$A$56:$F$345,6,0)&amp;""</f>
        <v/>
      </c>
      <c r="G21" s="234" t="s">
        <v>36</v>
      </c>
      <c r="I21" s="35"/>
      <c r="J21" s="35"/>
    </row>
    <row r="22" spans="1:10" s="1" customFormat="1" ht="37.5" customHeight="1" thickBot="1" x14ac:dyDescent="0.3">
      <c r="A22" s="63" t="str">
        <f>VLOOKUP(LEFT($A23,4),'Auto Responses'!$N$4:$O$38,2,0)&amp;""</f>
        <v xml:space="preserve"> Consulting Services</v>
      </c>
      <c r="B22" s="22"/>
      <c r="C22" s="13" t="s">
        <v>21</v>
      </c>
      <c r="D22" s="13" t="s">
        <v>22</v>
      </c>
      <c r="E22" s="31" t="s">
        <v>23</v>
      </c>
      <c r="F22" s="183" t="s">
        <v>24</v>
      </c>
      <c r="I22" s="35"/>
      <c r="J22" s="35"/>
    </row>
    <row r="23" spans="1:10" s="1" customFormat="1" ht="135" x14ac:dyDescent="0.25">
      <c r="A23" s="19" t="s">
        <v>342</v>
      </c>
      <c r="B23" s="18" t="str">
        <f>VLOOKUP($A23,Questions!$A$2:$X$333,2,0)</f>
        <v>Will the consultant require access to the institution's network resources?*</v>
      </c>
      <c r="C23" s="21" t="s">
        <v>46</v>
      </c>
      <c r="D23" s="23" t="s">
        <v>343</v>
      </c>
      <c r="E23" s="163" t="str">
        <f>IF($C$18='Auto Responses'!$J$4,'Auto Responses'!$A$5,IF($C23='Auto Responses'!$J$3,VLOOKUP($A23,Questions!$A$2:$X$333,17,0)&amp;"",IF($C23='Auto Responses'!$J$4,VLOOKUP($A23,Questions!$A$2:$X$333,16,0)&amp;"",VLOOKUP($A23,Questions!$A$2:$X$333,15,0)&amp;"")))</f>
        <v/>
      </c>
      <c r="F23" s="197" t="str">
        <f>VLOOKUP($A23,'Institution Evaluation'!$A$56:$F$345,6,0)&amp;""</f>
        <v/>
      </c>
      <c r="I23" s="35"/>
      <c r="J23" s="35"/>
    </row>
    <row r="24" spans="1:10" s="1" customFormat="1" ht="270" x14ac:dyDescent="0.25">
      <c r="A24" s="19" t="s">
        <v>344</v>
      </c>
      <c r="B24" s="18" t="str">
        <f>VLOOKUP($A24,Questions!$A$2:$X$333,2,0)</f>
        <v>Has the consultant received training on (sensitive, HIPAA, PCI, etc.) data handling?*</v>
      </c>
      <c r="C24" s="21" t="s">
        <v>26</v>
      </c>
      <c r="D24" s="312" t="s">
        <v>345</v>
      </c>
      <c r="E24" s="163" t="str">
        <f>IF($C$18='Auto Responses'!$J$4,'Auto Responses'!$A$5,IF($C24='Auto Responses'!$J$3,VLOOKUP($A24,Questions!$A$2:$X$333,17,0)&amp;"",IF($C24='Auto Responses'!$J$4,VLOOKUP($A24,Questions!$A$2:$X$333,16,0)&amp;"",VLOOKUP($A24,Questions!$A$2:$X$333,15,0)&amp;"")))</f>
        <v/>
      </c>
      <c r="F24" s="197" t="str">
        <f>VLOOKUP($A24,'Institution Evaluation'!$A$56:$F$345,6,0)&amp;""</f>
        <v/>
      </c>
      <c r="I24" s="35"/>
      <c r="J24" s="35"/>
    </row>
    <row r="25" spans="1:10" s="1" customFormat="1" ht="121.5" x14ac:dyDescent="0.25">
      <c r="A25" s="19" t="s">
        <v>346</v>
      </c>
      <c r="B25" s="18" t="str">
        <f>VLOOKUP($A25,Questions!$A$2:$X$333,2,0)</f>
        <v>Is the data encrypted (at rest) while in the consultant's possession?*</v>
      </c>
      <c r="C25" s="21" t="s">
        <v>26</v>
      </c>
      <c r="D25" s="312" t="s">
        <v>347</v>
      </c>
      <c r="E25" s="163" t="str">
        <f>IF($C$18='Auto Responses'!$J$4,'Auto Responses'!$A$5,IF($C25='Auto Responses'!$J$3,VLOOKUP($A25,Questions!$A$2:$X$333,17,0)&amp;"",IF($C25='Auto Responses'!$J$4,VLOOKUP($A25,Questions!$A$2:$X$333,16,0)&amp;"",IF($C25='Auto Responses'!$J$5,VLOOKUP($A25,Questions!$A$2:$X$333,18,0)&amp;"",VLOOKUP($A25,Questions!$A$2:$X$333,15,0)&amp;""))))</f>
        <v/>
      </c>
      <c r="F25" s="197" t="str">
        <f>VLOOKUP($A25,'Institution Evaluation'!$A$56:$F$345,6,0)&amp;""</f>
        <v/>
      </c>
      <c r="H25" s="167"/>
      <c r="I25" s="35"/>
      <c r="J25" s="35"/>
    </row>
    <row r="26" spans="1:10" s="1" customFormat="1" ht="81" x14ac:dyDescent="0.25">
      <c r="A26" s="19" t="s">
        <v>348</v>
      </c>
      <c r="B26" s="18" t="str">
        <f>VLOOKUP($A26,Questions!$A$2:$X$333,2,0)</f>
        <v>Can access be restricted based on source IP address?*</v>
      </c>
      <c r="C26" s="21" t="s">
        <v>26</v>
      </c>
      <c r="D26" s="368" t="s">
        <v>349</v>
      </c>
      <c r="E26" s="163" t="str">
        <f>IF($C$18='Auto Responses'!$J$4,'Auto Responses'!$A$5,IF($C26='Auto Responses'!$J$3,VLOOKUP($A26,Questions!$A$2:$X$333,17,0)&amp;"",IF($C26='Auto Responses'!$J$4,VLOOKUP($A26,Questions!$A$2:$X$333,16,0)&amp;"",IF($C26='Auto Responses'!$J$5,VLOOKUP($A26,Questions!$A$2:$X$333,18,0)&amp;"",VLOOKUP($A26,Questions!$A$2:$X$333,15,0)&amp;""))))</f>
        <v/>
      </c>
      <c r="F26" s="197" t="str">
        <f>VLOOKUP($A26,'Institution Evaluation'!$A$56:$F$345,6,0)&amp;""</f>
        <v/>
      </c>
      <c r="I26" s="35"/>
      <c r="J26" s="35"/>
    </row>
    <row r="27" spans="1:10" s="1" customFormat="1" ht="15" x14ac:dyDescent="0.25">
      <c r="A27" s="19" t="s">
        <v>350</v>
      </c>
      <c r="B27" s="18" t="str">
        <f>VLOOKUP($A27,Questions!$A$2:$X$333,2,0)</f>
        <v>Will the consulting take place on-premises?</v>
      </c>
      <c r="C27" s="21" t="s">
        <v>46</v>
      </c>
      <c r="D27" s="312"/>
      <c r="E27" s="163" t="str">
        <f>IF($C$18='Auto Responses'!$J$4,'Auto Responses'!$A$5,IF($C27='Auto Responses'!$J$3,VLOOKUP($A27,Questions!$A$2:$X$333,17,0)&amp;"",IF($C27='Auto Responses'!$J$4,VLOOKUP($A27,Questions!$A$2:$X$333,16,0)&amp;"",VLOOKUP($A27,Questions!$A$2:$X$333,15,0)&amp;"")))</f>
        <v/>
      </c>
      <c r="F27" s="197" t="str">
        <f>VLOOKUP($A27,'Institution Evaluation'!$A$56:$F$345,6,0)&amp;""</f>
        <v/>
      </c>
      <c r="I27" s="35"/>
      <c r="J27" s="35"/>
    </row>
    <row r="28" spans="1:10" s="1" customFormat="1" ht="27" x14ac:dyDescent="0.25">
      <c r="A28" s="19" t="s">
        <v>351</v>
      </c>
      <c r="B28" s="18" t="str">
        <f>VLOOKUP($A28,Questions!$A$2:$X$333,2,0)</f>
        <v>Will the consultant require access to hardware in the institution's data centers?</v>
      </c>
      <c r="C28" s="21" t="s">
        <v>46</v>
      </c>
      <c r="D28" s="312"/>
      <c r="E28" s="163" t="str">
        <f>IF($C$18='Auto Responses'!$J$4,'Auto Responses'!$A$5,IF($C28='Auto Responses'!$J$3,VLOOKUP($A28,Questions!$A$2:$X$333,17,0)&amp;"",IF($C28='Auto Responses'!$J$4,VLOOKUP($A28,Questions!$A$2:$X$333,16,0)&amp;"",VLOOKUP($A28,Questions!$A$2:$X$333,15,0)&amp;"")))</f>
        <v/>
      </c>
      <c r="F28" s="197" t="str">
        <f>VLOOKUP($A28,'Institution Evaluation'!$A$56:$F$345,6,0)&amp;""</f>
        <v/>
      </c>
      <c r="I28" s="35"/>
      <c r="J28" s="35"/>
    </row>
    <row r="29" spans="1:10" s="1" customFormat="1" ht="27" x14ac:dyDescent="0.25">
      <c r="A29" s="19" t="s">
        <v>352</v>
      </c>
      <c r="B29" s="18" t="str">
        <f>VLOOKUP($A29,Questions!$A$2:$X$333,2,0)</f>
        <v>Will the consultant require an account within the institution's domain (@*.edu)?</v>
      </c>
      <c r="C29" s="21" t="s">
        <v>46</v>
      </c>
      <c r="D29" s="312"/>
      <c r="E29" s="163" t="str">
        <f>IF($C$18='Auto Responses'!$J$4,'Auto Responses'!$A$5,IF($C29='Auto Responses'!$J$3,VLOOKUP($A29,Questions!$A$2:$X$333,17,0)&amp;"",IF($C29='Auto Responses'!$J$4,VLOOKUP($A29,Questions!$A$2:$X$333,16,0)&amp;"",VLOOKUP($A29,Questions!$A$2:$X$333,15,0)&amp;"")))</f>
        <v/>
      </c>
      <c r="F29" s="197" t="str">
        <f>VLOOKUP($A29,'Institution Evaluation'!$A$56:$F$345,6,0)&amp;""</f>
        <v/>
      </c>
      <c r="I29" s="35"/>
      <c r="J29" s="35"/>
    </row>
    <row r="30" spans="1:10" s="1" customFormat="1" ht="81" x14ac:dyDescent="0.25">
      <c r="A30" s="19" t="s">
        <v>353</v>
      </c>
      <c r="B30" s="18" t="str">
        <f>VLOOKUP($A30,Questions!$A$2:$X$333,2,0)</f>
        <v>Will any data be transferred to the consultant's possession?</v>
      </c>
      <c r="C30" s="21" t="s">
        <v>46</v>
      </c>
      <c r="D30" s="312" t="s">
        <v>354</v>
      </c>
      <c r="E30" s="163" t="str">
        <f>IF($C$18='Auto Responses'!$J$4,'Auto Responses'!$A$5,IF($C30='Auto Responses'!$J$3,VLOOKUP($A30,Questions!$A$2:$X$333,17,0)&amp;"",IF($C30='Auto Responses'!$J$4,VLOOKUP($A30,Questions!$A$2:$X$333,16,0)&amp;"",VLOOKUP($A30,Questions!$A$2:$X$333,15,0)&amp;"")))</f>
        <v/>
      </c>
      <c r="F30" s="197" t="str">
        <f>VLOOKUP($A30,'Institution Evaluation'!$A$56:$F$345,6,0)&amp;""</f>
        <v/>
      </c>
      <c r="I30" s="35"/>
      <c r="J30" s="35"/>
    </row>
    <row r="31" spans="1:10" s="1" customFormat="1" ht="27.5" thickBot="1" x14ac:dyDescent="0.3">
      <c r="A31" s="19" t="s">
        <v>355</v>
      </c>
      <c r="B31" s="18" t="str">
        <f>VLOOKUP($A31,Questions!$A$2:$X$333,2,0)</f>
        <v>Will the consultant need remote access to the institution's network or systems?</v>
      </c>
      <c r="C31" s="21" t="s">
        <v>46</v>
      </c>
      <c r="D31" s="312"/>
      <c r="E31" s="163" t="str">
        <f>IF($C$18='Auto Responses'!$J$4,'Auto Responses'!$A$5,IF($C31='Auto Responses'!$J$3,VLOOKUP($A31,Questions!$A$2:$X$333,17,0)&amp;"",IF($C31='Auto Responses'!$J$4,VLOOKUP($A31,Questions!$A$2:$X$333,16,0)&amp;"",VLOOKUP($A31,Questions!$A$2:$X$333,15,0)&amp;"")))</f>
        <v/>
      </c>
      <c r="F31" s="197" t="str">
        <f>VLOOKUP($A31,'Institution Evaluation'!$A$56:$F$345,6,0)&amp;""</f>
        <v/>
      </c>
      <c r="G31" s="234" t="s">
        <v>36</v>
      </c>
      <c r="I31" s="35"/>
      <c r="J31" s="35"/>
    </row>
    <row r="32" spans="1:10" s="1" customFormat="1" ht="37.5" customHeight="1" thickBot="1" x14ac:dyDescent="0.3">
      <c r="A32" s="63" t="str">
        <f>VLOOKUP(LEFT($A33,4),'Auto Responses'!$N$4:$O$38,2,0)&amp;""</f>
        <v xml:space="preserve">HIPAA Compliance </v>
      </c>
      <c r="B32" s="22"/>
      <c r="C32" s="13" t="s">
        <v>21</v>
      </c>
      <c r="D32" s="13" t="s">
        <v>22</v>
      </c>
      <c r="E32" s="31" t="s">
        <v>23</v>
      </c>
      <c r="F32" s="183" t="s">
        <v>24</v>
      </c>
      <c r="I32" s="35"/>
      <c r="J32" s="35"/>
    </row>
    <row r="33" spans="1:10" s="1" customFormat="1" ht="49.5" customHeight="1" x14ac:dyDescent="0.25">
      <c r="A33" s="19" t="s">
        <v>356</v>
      </c>
      <c r="B33" s="18" t="str">
        <f>VLOOKUP($A33,Questions!$A$2:$X$333,2,0)</f>
        <v>Do your workforce members receive regular training related to the Health Insurance Portability and Accountability Act (HIPAA) Privacy and Security Rules and the HITECH Act?*</v>
      </c>
      <c r="C33" s="21"/>
      <c r="D33" s="322"/>
      <c r="E33" s="163" t="str">
        <f>IF($C$19='Auto Responses'!$J$4,'Auto Responses'!$A$7,IF($C33='Auto Responses'!$J$3,VLOOKUP($A33,Questions!$A$2:$X$333,17,0)&amp;"",IF($C33='Auto Responses'!$J$4,VLOOKUP($A33,Questions!$A$2:$X$333,16,0)&amp;"",VLOOKUP($A33,Questions!$A$2:$X$333,15,0)&amp;"")))</f>
        <v>Based on the response to REQU-05 on the "START HERE" tab, this question does not apply to this product or service.</v>
      </c>
      <c r="F33" s="197" t="str">
        <f>VLOOKUP($A33,'Institution Evaluation'!$A$56:$F$345,6,0)&amp;""</f>
        <v/>
      </c>
      <c r="I33" s="35"/>
      <c r="J33" s="35"/>
    </row>
    <row r="34" spans="1:10" s="1" customFormat="1" ht="49.5" customHeight="1" x14ac:dyDescent="0.25">
      <c r="A34" s="19" t="s">
        <v>357</v>
      </c>
      <c r="B34" s="18" t="str">
        <f>VLOOKUP($A34,Questions!$A$2:$X$333,2,0)</f>
        <v>Have you identified areas of risk?*</v>
      </c>
      <c r="C34" s="21"/>
      <c r="D34" s="322"/>
      <c r="E34" s="163" t="str">
        <f>IF($C$19='Auto Responses'!$J$4,'Auto Responses'!$A$7,IF($C34='Auto Responses'!$J$3,VLOOKUP($A34,Questions!$A$2:$X$333,17,0)&amp;"",IF($C34='Auto Responses'!$J$4,VLOOKUP($A34,Questions!$A$2:$X$333,16,0)&amp;"",VLOOKUP($A34,Questions!$A$2:$X$333,15,0)&amp;"")))</f>
        <v>Based on the response to REQU-05 on the "START HERE" tab, this question does not apply to this product or service.</v>
      </c>
      <c r="F34" s="197" t="str">
        <f>VLOOKUP($A34,'Institution Evaluation'!$A$56:$F$345,6,0)&amp;""</f>
        <v/>
      </c>
      <c r="I34" s="35"/>
      <c r="J34" s="35"/>
    </row>
    <row r="35" spans="1:10" s="1" customFormat="1" ht="49.5" customHeight="1" x14ac:dyDescent="0.25">
      <c r="A35" s="19" t="s">
        <v>358</v>
      </c>
      <c r="B35" s="18" t="str">
        <f>VLOOKUP($A35,Questions!$A$2:$X$333,2,0)</f>
        <v>Have the relevant policies/plans been tested?*</v>
      </c>
      <c r="C35" s="21"/>
      <c r="D35" s="322"/>
      <c r="E35" s="163" t="str">
        <f>IF($C$19='Auto Responses'!$J$4,'Auto Responses'!$A$7,IF($C35='Auto Responses'!$J$3,VLOOKUP($A35,Questions!$A$2:$X$333,17,0)&amp;"",IF($C35='Auto Responses'!$J$4,VLOOKUP($A35,Questions!$A$2:$X$333,16,0)&amp;"",VLOOKUP($A35,Questions!$A$2:$X$333,15,0)&amp;"")))</f>
        <v>Based on the response to REQU-05 on the "START HERE" tab, this question does not apply to this product or service.</v>
      </c>
      <c r="F35" s="197" t="str">
        <f>VLOOKUP($A35,'Institution Evaluation'!$A$56:$F$345,6,0)&amp;""</f>
        <v/>
      </c>
      <c r="I35" s="35"/>
      <c r="J35" s="35"/>
    </row>
    <row r="36" spans="1:10" s="1" customFormat="1" ht="49.5" customHeight="1" x14ac:dyDescent="0.25">
      <c r="A36" s="19" t="s">
        <v>359</v>
      </c>
      <c r="B36" s="18" t="str">
        <f>VLOOKUP($A36,Questions!$A$2:$X$333,2,0)</f>
        <v>Have you entered into a Business Associate Agreements with all subcontractors who may have access to protected health information (PHI)?*</v>
      </c>
      <c r="C36" s="21"/>
      <c r="D36" s="322"/>
      <c r="E36" s="163" t="str">
        <f>IF($C$19='Auto Responses'!$J$4,'Auto Responses'!$A$7,IF($C36='Auto Responses'!$J$3,VLOOKUP($A36,Questions!$A$2:$X$333,17,0)&amp;"",IF($C36='Auto Responses'!$J$4,VLOOKUP($A36,Questions!$A$2:$X$333,16,0)&amp;"",VLOOKUP($A36,Questions!$A$2:$X$333,15,0)&amp;"")))</f>
        <v>Based on the response to REQU-05 on the "START HERE" tab, this question does not apply to this product or service.</v>
      </c>
      <c r="F36" s="197" t="str">
        <f>VLOOKUP($A36,'Institution Evaluation'!$A$56:$F$345,6,0)&amp;""</f>
        <v/>
      </c>
      <c r="I36" s="35"/>
      <c r="J36" s="35"/>
    </row>
    <row r="37" spans="1:10" s="1" customFormat="1" ht="49.5" customHeight="1" x14ac:dyDescent="0.25">
      <c r="A37" s="19" t="s">
        <v>360</v>
      </c>
      <c r="B37" s="18" t="str">
        <f>VLOOKUP($A37,Questions!$A$2:$X$333,2,0)</f>
        <v>Do you monitor or receive information regarding changes in HIPAA regulations?</v>
      </c>
      <c r="C37" s="21"/>
      <c r="D37" s="322"/>
      <c r="E37" s="163" t="str">
        <f>IF($C$19='Auto Responses'!$J$4,'Auto Responses'!$A$7,IF($C37='Auto Responses'!$J$3,VLOOKUP($A37,Questions!$A$2:$X$333,17,0)&amp;"",IF($C37='Auto Responses'!$J$4,VLOOKUP($A37,Questions!$A$2:$X$333,16,0)&amp;"",VLOOKUP($A37,Questions!$A$2:$X$333,15,0)&amp;"")))</f>
        <v>Based on the response to REQU-05 on the "START HERE" tab, this question does not apply to this product or service.</v>
      </c>
      <c r="F37" s="197" t="str">
        <f>VLOOKUP($A37,'Institution Evaluation'!$A$56:$F$345,6,0)&amp;""</f>
        <v/>
      </c>
      <c r="I37" s="35"/>
      <c r="J37" s="35"/>
    </row>
    <row r="38" spans="1:10" s="1" customFormat="1" ht="49.5" customHeight="1" x14ac:dyDescent="0.25">
      <c r="A38" s="19" t="s">
        <v>361</v>
      </c>
      <c r="B38" s="18" t="str">
        <f>VLOOKUP($A38,Questions!$A$2:$X$333,2,0)</f>
        <v>Has your organization designated HIPAA Privacy and Security officers as required by the rules?</v>
      </c>
      <c r="C38" s="21"/>
      <c r="D38" s="322"/>
      <c r="E38" s="163" t="str">
        <f>IF($C$19='Auto Responses'!$J$4,'Auto Responses'!$A$7,IF($C38='Auto Responses'!$J$3,VLOOKUP($A38,Questions!$A$2:$X$333,17,0)&amp;"",IF($C38='Auto Responses'!$J$4,VLOOKUP($A38,Questions!$A$2:$X$333,16,0)&amp;"",VLOOKUP($A38,Questions!$A$2:$X$333,15,0)&amp;"")))</f>
        <v>Based on the response to REQU-05 on the "START HERE" tab, this question does not apply to this product or service.</v>
      </c>
      <c r="F38" s="197" t="str">
        <f>VLOOKUP($A38,'Institution Evaluation'!$A$56:$F$345,6,0)&amp;""</f>
        <v/>
      </c>
      <c r="I38" s="35"/>
      <c r="J38" s="35"/>
    </row>
    <row r="39" spans="1:10" s="1" customFormat="1" ht="49.5" customHeight="1" x14ac:dyDescent="0.25">
      <c r="A39" s="19" t="s">
        <v>362</v>
      </c>
      <c r="B39" s="18" t="str">
        <f>VLOOKUP($A39,Questions!$A$2:$X$333,2,0)</f>
        <v>Do you comply with the requirements of the Health Information Technology for Economic and Clinical Health Act (HITECH)?</v>
      </c>
      <c r="C39" s="21"/>
      <c r="D39" s="322"/>
      <c r="E39" s="163" t="str">
        <f>IF($C$19='Auto Responses'!$J$4,'Auto Responses'!$A$7,IF($C39='Auto Responses'!$J$3,VLOOKUP($A39,Questions!$A$2:$X$333,17,0)&amp;"",IF($C39='Auto Responses'!$J$4,VLOOKUP($A39,Questions!$A$2:$X$333,16,0)&amp;"",VLOOKUP($A39,Questions!$A$2:$X$333,15,0)&amp;"")))</f>
        <v>Based on the response to REQU-05 on the "START HERE" tab, this question does not apply to this product or service.</v>
      </c>
      <c r="F39" s="197" t="str">
        <f>VLOOKUP($A39,'Institution Evaluation'!$A$56:$F$345,6,0)&amp;""</f>
        <v/>
      </c>
      <c r="I39" s="35"/>
      <c r="J39" s="35"/>
    </row>
    <row r="40" spans="1:10" s="1" customFormat="1" ht="49.5" customHeight="1" x14ac:dyDescent="0.25">
      <c r="A40" s="19" t="s">
        <v>363</v>
      </c>
      <c r="B40" s="18" t="str">
        <f>VLOOKUP($A40,Questions!$A$2:$X$333,2,0)</f>
        <v>Have you conducted a risk analysis as required under the HIPAA Security Rule?</v>
      </c>
      <c r="C40" s="21"/>
      <c r="D40" s="322"/>
      <c r="E40" s="163" t="str">
        <f>IF($C$19='Auto Responses'!$J$4,'Auto Responses'!$A$7,IF($C40='Auto Responses'!$J$3,VLOOKUP($A40,Questions!$A$2:$X$333,17,0)&amp;"",IF($C40='Auto Responses'!$J$4,VLOOKUP($A40,Questions!$A$2:$X$333,16,0)&amp;"",VLOOKUP($A40,Questions!$A$2:$X$333,15,0)&amp;"")))</f>
        <v>Based on the response to REQU-05 on the "START HERE" tab, this question does not apply to this product or service.</v>
      </c>
      <c r="F40" s="197" t="str">
        <f>VLOOKUP($A40,'Institution Evaluation'!$A$56:$F$345,6,0)&amp;""</f>
        <v/>
      </c>
      <c r="I40" s="35"/>
      <c r="J40" s="35"/>
    </row>
    <row r="41" spans="1:10" s="1" customFormat="1" ht="49.5" customHeight="1" x14ac:dyDescent="0.25">
      <c r="A41" s="19" t="s">
        <v>364</v>
      </c>
      <c r="B41" s="18" t="str">
        <f>VLOOKUP($A41,Questions!$A$2:$X$333,2,0)</f>
        <v>Have you taken actions to mitigate the identified risks?</v>
      </c>
      <c r="C41" s="21"/>
      <c r="D41" s="322"/>
      <c r="E41" s="163" t="str">
        <f>IF($C$19='Auto Responses'!$J$4,'Auto Responses'!$A$7,IF($C41='Auto Responses'!$J$3,VLOOKUP($A41,Questions!$A$2:$X$333,17,0)&amp;"",IF($C41='Auto Responses'!$J$4,VLOOKUP($A41,Questions!$A$2:$X$333,16,0)&amp;"",VLOOKUP($A41,Questions!$A$2:$X$333,15,0)&amp;"")))</f>
        <v>Based on the response to REQU-05 on the "START HERE" tab, this question does not apply to this product or service.</v>
      </c>
      <c r="F41" s="197" t="str">
        <f>VLOOKUP($A41,'Institution Evaluation'!$A$56:$F$345,6,0)&amp;""</f>
        <v/>
      </c>
      <c r="I41" s="35"/>
      <c r="J41" s="35"/>
    </row>
    <row r="42" spans="1:10" s="1" customFormat="1" ht="49.5" customHeight="1" x14ac:dyDescent="0.25">
      <c r="A42" s="19" t="s">
        <v>365</v>
      </c>
      <c r="B42" s="18" t="str">
        <f>VLOOKUP($A42,Questions!$A$2:$X$333,2,0)</f>
        <v>Does your application require user and system administrator password changes at a frequency no greater than 90 days?</v>
      </c>
      <c r="C42" s="21"/>
      <c r="D42" s="322"/>
      <c r="E42" s="163" t="str">
        <f>IF($C$19='Auto Responses'!$J$4,'Auto Responses'!$A$7,IF($C42='Auto Responses'!$J$3,VLOOKUP($A42,Questions!$A$2:$X$333,17,0)&amp;"",IF($C42='Auto Responses'!$J$4,VLOOKUP($A42,Questions!$A$2:$X$333,16,0)&amp;"",VLOOKUP($A42,Questions!$A$2:$X$333,15,0)&amp;"")))</f>
        <v>Based on the response to REQU-05 on the "START HERE" tab, this question does not apply to this product or service.</v>
      </c>
      <c r="F42" s="197" t="str">
        <f>VLOOKUP($A42,'Institution Evaluation'!$A$56:$F$345,6,0)&amp;""</f>
        <v/>
      </c>
      <c r="I42" s="35"/>
      <c r="J42" s="35"/>
    </row>
    <row r="43" spans="1:10" s="1" customFormat="1" ht="49.5" customHeight="1" x14ac:dyDescent="0.25">
      <c r="A43" s="19" t="s">
        <v>366</v>
      </c>
      <c r="B43" s="18" t="str">
        <f>VLOOKUP($A43,Questions!$A$2:$X$333,2,0)</f>
        <v>Does your application require users to set their own password after an administrator reset or on first use of the account?</v>
      </c>
      <c r="C43" s="21"/>
      <c r="D43" s="316"/>
      <c r="E43" s="163" t="str">
        <f>IF($C$19='Auto Responses'!$J$4,'Auto Responses'!$A$7,IF($C43='Auto Responses'!$J$3,VLOOKUP($A43,Questions!$A$2:$X$333,17,0)&amp;"",IF($C43='Auto Responses'!$J$4,VLOOKUP($A43,Questions!$A$2:$X$333,16,0)&amp;"",VLOOKUP($A43,Questions!$A$2:$X$333,15,0)&amp;"")))</f>
        <v>Based on the response to REQU-05 on the "START HERE" tab, this question does not apply to this product or service.</v>
      </c>
      <c r="F43" s="197" t="str">
        <f>VLOOKUP($A43,'Institution Evaluation'!$A$56:$F$345,6,0)&amp;""</f>
        <v/>
      </c>
      <c r="I43" s="35"/>
      <c r="J43" s="35"/>
    </row>
    <row r="44" spans="1:10" s="1" customFormat="1" ht="49.5" customHeight="1" x14ac:dyDescent="0.25">
      <c r="A44" s="19" t="s">
        <v>367</v>
      </c>
      <c r="B44" s="18" t="str">
        <f>VLOOKUP($A44,Questions!$A$2:$X$333,2,0)</f>
        <v>Does your application lock out an account after a number of failed login attempts?</v>
      </c>
      <c r="C44" s="21"/>
      <c r="D44" s="316"/>
      <c r="E44" s="163" t="str">
        <f>IF($C$19='Auto Responses'!$J$4,'Auto Responses'!$A$7,IF($C44='Auto Responses'!$J$3,VLOOKUP($A44,Questions!$A$2:$X$333,17,0)&amp;"",IF($C44='Auto Responses'!$J$4,VLOOKUP($A44,Questions!$A$2:$X$333,16,0)&amp;"",VLOOKUP($A44,Questions!$A$2:$X$333,15,0)&amp;"")))</f>
        <v>Based on the response to REQU-05 on the "START HERE" tab, this question does not apply to this product or service.</v>
      </c>
      <c r="F44" s="197" t="str">
        <f>VLOOKUP($A44,'Institution Evaluation'!$A$56:$F$345,6,0)&amp;""</f>
        <v/>
      </c>
      <c r="I44" s="35"/>
      <c r="J44" s="35"/>
    </row>
    <row r="45" spans="1:10" s="1" customFormat="1" ht="49.5" customHeight="1" x14ac:dyDescent="0.25">
      <c r="A45" s="19" t="s">
        <v>368</v>
      </c>
      <c r="B45" s="18" t="str">
        <f>VLOOKUP($A45,Questions!$A$2:$X$333,2,0)</f>
        <v>Does your application automatically lock or log-out an account after a period of inactivity?</v>
      </c>
      <c r="C45" s="21"/>
      <c r="D45" s="316"/>
      <c r="E45" s="163" t="str">
        <f>IF($C$19='Auto Responses'!$J$4,'Auto Responses'!$A$7,IF($C45='Auto Responses'!$J$3,VLOOKUP($A45,Questions!$A$2:$X$333,17,0)&amp;"",IF($C45='Auto Responses'!$J$4,VLOOKUP($A45,Questions!$A$2:$X$333,16,0)&amp;"",VLOOKUP($A45,Questions!$A$2:$X$333,15,0)&amp;"")))</f>
        <v>Based on the response to REQU-05 on the "START HERE" tab, this question does not apply to this product or service.</v>
      </c>
      <c r="F45" s="197" t="str">
        <f>VLOOKUP($A45,'Institution Evaluation'!$A$56:$F$345,6,0)&amp;""</f>
        <v/>
      </c>
      <c r="I45" s="35"/>
      <c r="J45" s="35"/>
    </row>
    <row r="46" spans="1:10" s="1" customFormat="1" ht="49.5" customHeight="1" x14ac:dyDescent="0.25">
      <c r="A46" s="19" t="s">
        <v>369</v>
      </c>
      <c r="B46" s="18" t="str">
        <f>VLOOKUP($A46,Questions!$A$2:$X$333,2,0)</f>
        <v>Are passwords visible in plain text, whether when stored or entered, including service level accounts (i.e., database accounts, etc.)?</v>
      </c>
      <c r="C46" s="21"/>
      <c r="D46" s="316"/>
      <c r="E46" s="163" t="str">
        <f>IF($C$19='Auto Responses'!$J$4,'Auto Responses'!$A$7,IF($C46='Auto Responses'!$J$3,VLOOKUP($A46,Questions!$A$2:$X$333,17,0)&amp;"",IF($C46='Auto Responses'!$J$4,VLOOKUP($A46,Questions!$A$2:$X$333,16,0)&amp;"",VLOOKUP($A46,Questions!$A$2:$X$333,15,0)&amp;"")))</f>
        <v>Based on the response to REQU-05 on the "START HERE" tab, this question does not apply to this product or service.</v>
      </c>
      <c r="F46" s="197" t="str">
        <f>VLOOKUP($A46,'Institution Evaluation'!$A$56:$F$345,6,0)&amp;""</f>
        <v/>
      </c>
      <c r="I46" s="35"/>
      <c r="J46" s="35"/>
    </row>
    <row r="47" spans="1:10" s="1" customFormat="1" ht="49.5" customHeight="1" x14ac:dyDescent="0.25">
      <c r="A47" s="19" t="s">
        <v>370</v>
      </c>
      <c r="B47" s="18" t="str">
        <f>VLOOKUP($A47,Questions!$A$2:$X$333,2,0)</f>
        <v>If the application is institution-hosted, can all service level and administrative account passwords be changed by the institution?</v>
      </c>
      <c r="C47" s="21"/>
      <c r="D47" s="316"/>
      <c r="E47" s="163" t="str">
        <f>IF($C$19='Auto Responses'!$J$4,'Auto Responses'!$A$7,IF($C47='Auto Responses'!$J$3,VLOOKUP($A47,Questions!$A$2:$X$333,17,0)&amp;"",IF($C47='Auto Responses'!$J$4,VLOOKUP($A47,Questions!$A$2:$X$333,16,0)&amp;"",VLOOKUP($A47,Questions!$A$2:$X$333,15,0)&amp;"")))</f>
        <v>Based on the response to REQU-05 on the "START HERE" tab, this question does not apply to this product or service.</v>
      </c>
      <c r="F47" s="197" t="str">
        <f>VLOOKUP($A47,'Institution Evaluation'!$A$56:$F$345,6,0)&amp;""</f>
        <v/>
      </c>
      <c r="I47" s="35"/>
      <c r="J47" s="35"/>
    </row>
    <row r="48" spans="1:10" s="1" customFormat="1" ht="49.5" customHeight="1" x14ac:dyDescent="0.25">
      <c r="A48" s="19" t="s">
        <v>371</v>
      </c>
      <c r="B48" s="18" t="str">
        <f>VLOOKUP($A48,Questions!$A$2:$X$333,2,0)</f>
        <v>Does your application provide the ability to define user access levels?</v>
      </c>
      <c r="C48" s="21"/>
      <c r="D48" s="316"/>
      <c r="E48" s="163" t="str">
        <f>IF($C$19='Auto Responses'!$J$4,'Auto Responses'!$A$7,IF($C48='Auto Responses'!$J$3,VLOOKUP($A48,Questions!$A$2:$X$333,17,0)&amp;"",IF($C48='Auto Responses'!$J$4,VLOOKUP($A48,Questions!$A$2:$X$333,16,0)&amp;"",VLOOKUP($A48,Questions!$A$2:$X$333,15,0)&amp;"")))</f>
        <v>Based on the response to REQU-05 on the "START HERE" tab, this question does not apply to this product or service.</v>
      </c>
      <c r="F48" s="197" t="str">
        <f>VLOOKUP($A48,'Institution Evaluation'!$A$56:$F$345,6,0)&amp;""</f>
        <v/>
      </c>
      <c r="I48" s="35"/>
      <c r="J48" s="35"/>
    </row>
    <row r="49" spans="1:10" s="1" customFormat="1" ht="49.5" customHeight="1" x14ac:dyDescent="0.25">
      <c r="A49" s="19" t="s">
        <v>372</v>
      </c>
      <c r="B49" s="18" t="str">
        <f>VLOOKUP($A49,Questions!$A$2:$X$333,2,0)</f>
        <v>Does your application support varying levels of access to administrative tasks defined individually per user?</v>
      </c>
      <c r="C49" s="21"/>
      <c r="D49" s="316"/>
      <c r="E49" s="163" t="str">
        <f>IF($C$19='Auto Responses'!$J$4,'Auto Responses'!$A$7,IF($C49='Auto Responses'!$J$3,VLOOKUP($A49,Questions!$A$2:$X$333,17,0)&amp;"",IF($C49='Auto Responses'!$J$4,VLOOKUP($A49,Questions!$A$2:$X$333,16,0)&amp;"",VLOOKUP($A49,Questions!$A$2:$X$333,15,0)&amp;"")))</f>
        <v>Based on the response to REQU-05 on the "START HERE" tab, this question does not apply to this product or service.</v>
      </c>
      <c r="F49" s="197" t="str">
        <f>VLOOKUP($A49,'Institution Evaluation'!$A$56:$F$345,6,0)&amp;""</f>
        <v/>
      </c>
      <c r="I49" s="35"/>
      <c r="J49" s="35"/>
    </row>
    <row r="50" spans="1:10" s="1" customFormat="1" ht="49.5" customHeight="1" x14ac:dyDescent="0.25">
      <c r="A50" s="19" t="s">
        <v>373</v>
      </c>
      <c r="B50" s="18" t="str">
        <f>VLOOKUP($A50,Questions!$A$2:$X$333,2,0)</f>
        <v>Does your application support varying levels of access to records based on user ID?</v>
      </c>
      <c r="C50" s="21"/>
      <c r="D50" s="316"/>
      <c r="E50" s="163" t="str">
        <f>IF($C$19='Auto Responses'!$J$4,'Auto Responses'!$A$7,IF($C50='Auto Responses'!$J$3,VLOOKUP($A50,Questions!$A$2:$X$333,17,0)&amp;"",IF($C50='Auto Responses'!$J$4,VLOOKUP($A50,Questions!$A$2:$X$333,16,0)&amp;"",VLOOKUP($A50,Questions!$A$2:$X$333,15,0)&amp;"")))</f>
        <v>Based on the response to REQU-05 on the "START HERE" tab, this question does not apply to this product or service.</v>
      </c>
      <c r="F50" s="197" t="str">
        <f>VLOOKUP($A50,'Institution Evaluation'!$A$56:$F$345,6,0)&amp;""</f>
        <v/>
      </c>
      <c r="I50" s="35"/>
      <c r="J50" s="35"/>
    </row>
    <row r="51" spans="1:10" s="1" customFormat="1" ht="49.5" customHeight="1" x14ac:dyDescent="0.25">
      <c r="A51" s="19" t="s">
        <v>374</v>
      </c>
      <c r="B51" s="18" t="str">
        <f>VLOOKUP($A51,Questions!$A$2:$X$333,2,0)</f>
        <v>Is there a limit to the number of groups to which a user can be assigned?</v>
      </c>
      <c r="C51" s="21"/>
      <c r="D51" s="316"/>
      <c r="E51" s="163" t="str">
        <f>IF($C$19='Auto Responses'!$J$4,'Auto Responses'!$A$7,IF($C51='Auto Responses'!$J$3,VLOOKUP($A51,Questions!$A$2:$X$333,17,0)&amp;"",IF($C51='Auto Responses'!$J$4,VLOOKUP($A51,Questions!$A$2:$X$333,16,0)&amp;"",VLOOKUP($A51,Questions!$A$2:$X$333,15,0)&amp;"")))</f>
        <v>Based on the response to REQU-05 on the "START HERE" tab, this question does not apply to this product or service.</v>
      </c>
      <c r="F51" s="197" t="str">
        <f>VLOOKUP($A51,'Institution Evaluation'!$A$56:$F$345,6,0)&amp;""</f>
        <v/>
      </c>
      <c r="I51" s="35"/>
      <c r="J51" s="35"/>
    </row>
    <row r="52" spans="1:10" s="1" customFormat="1" ht="49.5" customHeight="1" x14ac:dyDescent="0.25">
      <c r="A52" s="19" t="s">
        <v>375</v>
      </c>
      <c r="B52" s="18" t="str">
        <f>VLOOKUP($A52,Questions!$A$2:$X$333,2,0)</f>
        <v>Do accounts used for solution provider-supplied remote support abide by the same authentication policies and access logging as the rest of the system?</v>
      </c>
      <c r="C52" s="21"/>
      <c r="D52" s="316"/>
      <c r="E52" s="163" t="str">
        <f>IF($C$19='Auto Responses'!$J$4,'Auto Responses'!$A$7,IF($C52='Auto Responses'!$J$3,VLOOKUP($A52,Questions!$A$2:$X$333,17,0)&amp;"",IF($C52='Auto Responses'!$J$4,VLOOKUP($A52,Questions!$A$2:$X$333,16,0)&amp;"",VLOOKUP($A52,Questions!$A$2:$X$333,15,0)&amp;"")))</f>
        <v>Based on the response to REQU-05 on the "START HERE" tab, this question does not apply to this product or service.</v>
      </c>
      <c r="F52" s="197" t="str">
        <f>VLOOKUP($A52,'Institution Evaluation'!$A$56:$F$345,6,0)&amp;""</f>
        <v/>
      </c>
      <c r="I52" s="35"/>
      <c r="J52" s="35"/>
    </row>
    <row r="53" spans="1:10" s="1" customFormat="1" ht="49.5" customHeight="1" x14ac:dyDescent="0.25">
      <c r="A53" s="19" t="s">
        <v>376</v>
      </c>
      <c r="B53" s="18" t="str">
        <f>VLOOKUP($A53,Questions!$A$2:$X$333,2,0)</f>
        <v>Does the application log record access including specific user, date/time of access, and originating IP or device?</v>
      </c>
      <c r="C53" s="21"/>
      <c r="D53" s="316"/>
      <c r="E53" s="163" t="str">
        <f>IF($C$19='Auto Responses'!$J$4,'Auto Responses'!$A$7,IF($C53='Auto Responses'!$J$3,VLOOKUP($A53,Questions!$A$2:$X$333,17,0)&amp;"",IF($C53='Auto Responses'!$J$4,VLOOKUP($A53,Questions!$A$2:$X$333,16,0)&amp;"",VLOOKUP($A53,Questions!$A$2:$X$333,15,0)&amp;"")))</f>
        <v>Based on the response to REQU-05 on the "START HERE" tab, this question does not apply to this product or service.</v>
      </c>
      <c r="F53" s="197" t="str">
        <f>VLOOKUP($A53,'Institution Evaluation'!$A$56:$F$345,6,0)&amp;""</f>
        <v/>
      </c>
      <c r="I53" s="35"/>
      <c r="J53" s="35"/>
    </row>
    <row r="54" spans="1:10" s="1" customFormat="1" ht="49.5" customHeight="1" x14ac:dyDescent="0.25">
      <c r="A54" s="19" t="s">
        <v>377</v>
      </c>
      <c r="B54" s="18" t="str">
        <f>VLOOKUP($A54,Questions!$A$2:$X$333,2,0)</f>
        <v>Does the application log administrative activity, such as user account access changes and password changes, including specific user, date/time of changes, and originating IP or device?</v>
      </c>
      <c r="C54" s="21"/>
      <c r="D54" s="316"/>
      <c r="E54" s="163" t="str">
        <f>IF($C$19='Auto Responses'!$J$4,'Auto Responses'!$A$7,IF($C54='Auto Responses'!$J$3,VLOOKUP($A54,Questions!$A$2:$X$333,17,0)&amp;"",IF($C54='Auto Responses'!$J$4,VLOOKUP($A54,Questions!$A$2:$X$333,16,0)&amp;"",VLOOKUP($A54,Questions!$A$2:$X$333,15,0)&amp;"")))</f>
        <v>Based on the response to REQU-05 on the "START HERE" tab, this question does not apply to this product or service.</v>
      </c>
      <c r="F54" s="197" t="str">
        <f>VLOOKUP($A54,'Institution Evaluation'!$A$56:$F$345,6,0)&amp;""</f>
        <v/>
      </c>
      <c r="I54" s="35"/>
      <c r="J54" s="35"/>
    </row>
    <row r="55" spans="1:10" s="1" customFormat="1" ht="49.5" customHeight="1" x14ac:dyDescent="0.25">
      <c r="A55" s="19" t="s">
        <v>378</v>
      </c>
      <c r="B55" s="18" t="str">
        <f>VLOOKUP($A55,Questions!$A$2:$X$333,2,0)</f>
        <v>Do you retain logs for at least as long as required by HIPAA regulations?</v>
      </c>
      <c r="C55" s="76"/>
      <c r="D55" s="316"/>
      <c r="E55" s="163" t="str">
        <f>IF($C$19='Auto Responses'!$J$4,'Auto Responses'!$A$7,IF($C55='Auto Responses'!$J$3,VLOOKUP($A55,Questions!$A$2:$X$333,17,0)&amp;"",IF($C55='Auto Responses'!$J$4,VLOOKUP($A55,Questions!$A$2:$X$333,16,0)&amp;"",VLOOKUP($A55,Questions!$A$2:$X$333,15,0)&amp;"")))</f>
        <v>Based on the response to REQU-05 on the "START HERE" tab, this question does not apply to this product or service.</v>
      </c>
      <c r="F55" s="197" t="str">
        <f>VLOOKUP($A55,'Institution Evaluation'!$A$56:$F$345,6,0)&amp;""</f>
        <v/>
      </c>
      <c r="I55" s="35"/>
      <c r="J55" s="35"/>
    </row>
    <row r="56" spans="1:10" s="1" customFormat="1" ht="49.5" customHeight="1" x14ac:dyDescent="0.25">
      <c r="A56" s="19" t="s">
        <v>379</v>
      </c>
      <c r="B56" s="18" t="str">
        <f>VLOOKUP($A56,Questions!$A$2:$X$333,2,0)</f>
        <v>Can the application logs be archived?</v>
      </c>
      <c r="C56" s="21"/>
      <c r="D56" s="316"/>
      <c r="E56" s="163" t="str">
        <f>IF($C$19='Auto Responses'!$J$4,'Auto Responses'!$A$7,IF($C56='Auto Responses'!$J$3,VLOOKUP($A56,Questions!$A$2:$X$333,17,0)&amp;"",IF($C56='Auto Responses'!$J$4,VLOOKUP($A56,Questions!$A$2:$X$333,16,0)&amp;"",VLOOKUP($A56,Questions!$A$2:$X$333,15,0)&amp;"")))</f>
        <v>Based on the response to REQU-05 on the "START HERE" tab, this question does not apply to this product or service.</v>
      </c>
      <c r="F56" s="197" t="str">
        <f>VLOOKUP($A56,'Institution Evaluation'!$A$56:$F$345,6,0)&amp;""</f>
        <v/>
      </c>
      <c r="I56" s="35"/>
      <c r="J56" s="35"/>
    </row>
    <row r="57" spans="1:10" s="1" customFormat="1" ht="49.5" customHeight="1" x14ac:dyDescent="0.25">
      <c r="A57" s="19" t="s">
        <v>380</v>
      </c>
      <c r="B57" s="18" t="str">
        <f>VLOOKUP($A57,Questions!$A$2:$X$333,2,0)</f>
        <v>Can the application logs be saved externally?</v>
      </c>
      <c r="C57" s="21"/>
      <c r="D57" s="316"/>
      <c r="E57" s="163" t="str">
        <f>IF($C$19='Auto Responses'!$J$4,'Auto Responses'!$A$7,IF($C57='Auto Responses'!$J$3,VLOOKUP($A57,Questions!$A$2:$X$333,17,0)&amp;"",IF($C57='Auto Responses'!$J$4,VLOOKUP($A57,Questions!$A$2:$X$333,16,0)&amp;"",VLOOKUP($A57,Questions!$A$2:$X$333,15,0)&amp;"")))</f>
        <v>Based on the response to REQU-05 on the "START HERE" tab, this question does not apply to this product or service.</v>
      </c>
      <c r="F57" s="197" t="str">
        <f>VLOOKUP($A57,'Institution Evaluation'!$A$56:$F$345,6,0)&amp;""</f>
        <v/>
      </c>
      <c r="I57" s="35"/>
      <c r="J57" s="35"/>
    </row>
    <row r="58" spans="1:10" s="1" customFormat="1" ht="49.5" customHeight="1" x14ac:dyDescent="0.25">
      <c r="A58" s="19" t="s">
        <v>381</v>
      </c>
      <c r="B58" s="18" t="str">
        <f>VLOOKUP($A58,Questions!$A$2:$X$333,2,0)</f>
        <v>Do you have a disaster recovery plan and emergency mode operation plan?</v>
      </c>
      <c r="C58" s="21"/>
      <c r="D58" s="316"/>
      <c r="E58" s="163" t="str">
        <f>IF($C$19='Auto Responses'!$J$4,'Auto Responses'!$A$7,IF($C58='Auto Responses'!$J$3,VLOOKUP($A58,Questions!$A$2:$X$333,17,0)&amp;"",IF($C58='Auto Responses'!$J$4,VLOOKUP($A58,Questions!$A$2:$X$333,16,0)&amp;"",VLOOKUP($A58,Questions!$A$2:$X$333,15,0)&amp;"")))</f>
        <v>Based on the response to REQU-05 on the "START HERE" tab, this question does not apply to this product or service.</v>
      </c>
      <c r="F58" s="197" t="str">
        <f>VLOOKUP($A58,'Institution Evaluation'!$A$56:$F$345,6,0)&amp;""</f>
        <v/>
      </c>
      <c r="I58" s="35"/>
      <c r="J58" s="35"/>
    </row>
    <row r="59" spans="1:10" s="1" customFormat="1" ht="49.5" customHeight="1" x14ac:dyDescent="0.25">
      <c r="A59" s="19" t="s">
        <v>382</v>
      </c>
      <c r="B59" s="18" t="str">
        <f>VLOOKUP($A59,Questions!$A$2:$X$333,2,0)</f>
        <v>Can you provide a HIPAA compliance attestation document?</v>
      </c>
      <c r="C59" s="21"/>
      <c r="D59" s="316"/>
      <c r="E59" s="163" t="str">
        <f>IF($C$19='Auto Responses'!$J$4,'Auto Responses'!$A$7,IF($C59='Auto Responses'!$J$3,VLOOKUP($A59,Questions!$A$2:$X$333,17,0)&amp;"",IF($C59='Auto Responses'!$J$4,VLOOKUP($A59,Questions!$A$2:$X$333,16,0)&amp;"",VLOOKUP($A59,Questions!$A$2:$X$333,15,0)&amp;"")))</f>
        <v>Based on the response to REQU-05 on the "START HERE" tab, this question does not apply to this product or service.</v>
      </c>
      <c r="F59" s="197" t="str">
        <f>VLOOKUP($A59,'Institution Evaluation'!$A$56:$F$345,6,0)&amp;""</f>
        <v/>
      </c>
      <c r="I59" s="35"/>
      <c r="J59" s="35"/>
    </row>
    <row r="60" spans="1:10" s="1" customFormat="1" ht="49.5" customHeight="1" x14ac:dyDescent="0.25">
      <c r="A60" s="19" t="s">
        <v>383</v>
      </c>
      <c r="B60" s="18" t="str">
        <f>VLOOKUP($A60,Questions!$A$2:$X$333,2,0)</f>
        <v>Are you willing to enter into a Business Associate Agreement (BAA)?</v>
      </c>
      <c r="C60" s="21"/>
      <c r="D60" s="316"/>
      <c r="E60" s="163" t="str">
        <f>IF($C$19='Auto Responses'!$J$4,'Auto Responses'!$A$7,IF($C60='Auto Responses'!$J$3,VLOOKUP($A60,Questions!$A$2:$X$333,17,0)&amp;"",IF($C60='Auto Responses'!$J$4,VLOOKUP($A60,Questions!$A$2:$X$333,16,0)&amp;"",VLOOKUP($A60,Questions!$A$2:$X$333,15,0)&amp;"")))</f>
        <v>Based on the response to REQU-05 on the "START HERE" tab, this question does not apply to this product or service.</v>
      </c>
      <c r="F60" s="197" t="str">
        <f>VLOOKUP($A60,'Institution Evaluation'!$A$56:$F$345,6,0)&amp;""</f>
        <v/>
      </c>
      <c r="I60" s="35"/>
      <c r="J60" s="35"/>
    </row>
    <row r="61" spans="1:10" s="1" customFormat="1" ht="49.5" customHeight="1" thickBot="1" x14ac:dyDescent="0.3">
      <c r="A61" s="19" t="s">
        <v>384</v>
      </c>
      <c r="B61" s="18" t="str">
        <f>VLOOKUP($A61,Questions!$A$2:$X$333,2,0)</f>
        <v>Do your data backup and retention policies and practices meet HIPAA requirements?</v>
      </c>
      <c r="C61" s="21"/>
      <c r="D61" s="316"/>
      <c r="E61" s="163" t="str">
        <f>IF($C$19='Auto Responses'!$J$4,'Auto Responses'!$A$7,IF($C61='Auto Responses'!$J$3,VLOOKUP($A61,Questions!$A$2:$X$333,17,0)&amp;"",IF($C61='Auto Responses'!$J$4,VLOOKUP($A61,Questions!$A$2:$X$333,16,0)&amp;"",VLOOKUP($A61,Questions!$A$2:$X$333,15,0)&amp;"")))</f>
        <v>Based on the response to REQU-05 on the "START HERE" tab, this question does not apply to this product or service.</v>
      </c>
      <c r="F61" s="197" t="str">
        <f>VLOOKUP($A61,'Institution Evaluation'!$A$56:$F$345,6,0)&amp;""</f>
        <v/>
      </c>
      <c r="G61" s="234" t="s">
        <v>36</v>
      </c>
      <c r="I61" s="35"/>
      <c r="J61" s="35"/>
    </row>
    <row r="62" spans="1:10" s="1" customFormat="1" ht="37.5" customHeight="1" thickBot="1" x14ac:dyDescent="0.3">
      <c r="A62" s="63" t="str">
        <f>VLOOKUP(LEFT($A63,4),'Auto Responses'!$N$4:$O$38,2,0)&amp;""</f>
        <v xml:space="preserve"> Payment Card Industry Data Security Standard (PCI DSS)</v>
      </c>
      <c r="B62" s="22"/>
      <c r="C62" s="13" t="s">
        <v>21</v>
      </c>
      <c r="D62" s="13" t="s">
        <v>22</v>
      </c>
      <c r="E62" s="31" t="s">
        <v>23</v>
      </c>
      <c r="F62" s="183" t="s">
        <v>24</v>
      </c>
      <c r="I62" s="35"/>
      <c r="J62" s="35"/>
    </row>
    <row r="63" spans="1:10" s="1" customFormat="1" ht="38.25" customHeight="1" x14ac:dyDescent="0.25">
      <c r="A63" s="19" t="s">
        <v>385</v>
      </c>
      <c r="B63" s="18" t="str">
        <f>VLOOKUP($A63,Questions!$A$2:$X$333,2,0)</f>
        <v>Do you have a current, executed within the past year, Attestation of Compliance (AoC) or Report on Compliance (RoC)?*</v>
      </c>
      <c r="C63" s="21"/>
      <c r="D63" s="316"/>
      <c r="E63" s="163" t="str">
        <f>IF($C$20='Auto Responses'!$J$4,'Auto Responses'!$A$8,IF($C63='Auto Responses'!$J$3,VLOOKUP($A63,Questions!$A$2:$X$333,17,0)&amp;"",IF($C63='Auto Responses'!$J$4,VLOOKUP($A63,Questions!$A$2:$X$333,16,0)&amp;"",VLOOKUP($A63,Questions!$A$2:$X$333,15,0)&amp;"")))</f>
        <v>Based on the response to REQU-06 on the "START HERE" tab, this question does not apply to this product or service.</v>
      </c>
      <c r="F63" s="197" t="str">
        <f>VLOOKUP($A63,'Institution Evaluation'!$A$56:$F$345,6,0)&amp;""</f>
        <v/>
      </c>
      <c r="I63" s="35"/>
      <c r="J63" s="35"/>
    </row>
    <row r="64" spans="1:10" s="1" customFormat="1" ht="38.25" customHeight="1" x14ac:dyDescent="0.25">
      <c r="A64" s="19" t="s">
        <v>386</v>
      </c>
      <c r="B64" s="18" t="str">
        <f>VLOOKUP($A64,Questions!$A$2:$X$333,2,0)</f>
        <v>Is the application listed as an approved Payment Application Data Security Standard (PA-DSS) application?*</v>
      </c>
      <c r="C64" s="21"/>
      <c r="D64" s="316"/>
      <c r="E64" s="163" t="str">
        <f>IF($C$20='Auto Responses'!$J$4,'Auto Responses'!$A$8,IF($C64='Auto Responses'!$J$3,VLOOKUP($A64,Questions!$A$2:$X$333,17,0)&amp;"",IF($C64='Auto Responses'!$J$4,VLOOKUP($A64,Questions!$A$2:$X$333,16,0)&amp;"",VLOOKUP($A64,Questions!$A$2:$X$333,15,0)&amp;"")))</f>
        <v>Based on the response to REQU-06 on the "START HERE" tab, this question does not apply to this product or service.</v>
      </c>
      <c r="F64" s="197" t="str">
        <f>VLOOKUP($A64,'Institution Evaluation'!$A$56:$F$345,6,0)&amp;""</f>
        <v/>
      </c>
      <c r="I64" s="35"/>
      <c r="J64" s="35"/>
    </row>
    <row r="65" spans="1:10" s="1" customFormat="1" ht="38.25" customHeight="1" x14ac:dyDescent="0.25">
      <c r="A65" s="19" t="s">
        <v>387</v>
      </c>
      <c r="B65" s="18" t="str">
        <f>VLOOKUP($A65,Questions!$A$2:$X$333,2,0)</f>
        <v>Does the system or solutions use a third party to collect, store, process, or transmit cardholder (payment/credit/debt card) data?*</v>
      </c>
      <c r="C65" s="21"/>
      <c r="D65" s="316"/>
      <c r="E65" s="163" t="str">
        <f>IF($C$20='Auto Responses'!$J$4,'Auto Responses'!$A$8,IF($C65='Auto Responses'!$J$3,VLOOKUP($A65,Questions!$A$2:$X$333,17,0)&amp;"",IF($C65='Auto Responses'!$J$4,VLOOKUP($A65,Questions!$A$2:$X$333,16,0)&amp;"",VLOOKUP($A65,Questions!$A$2:$X$333,15,0)&amp;"")))</f>
        <v>Based on the response to REQU-06 on the "START HERE" tab, this question does not apply to this product or service.</v>
      </c>
      <c r="F65" s="197" t="str">
        <f>VLOOKUP($A65,'Institution Evaluation'!$A$56:$F$345,6,0)&amp;""</f>
        <v/>
      </c>
      <c r="I65" s="35"/>
      <c r="J65" s="35"/>
    </row>
    <row r="66" spans="1:10" s="1" customFormat="1" ht="38.25" customHeight="1" x14ac:dyDescent="0.25">
      <c r="A66" s="19" t="s">
        <v>388</v>
      </c>
      <c r="B66" s="18" t="str">
        <f>VLOOKUP($A66,Questions!$A$2:$X$333,2,0)</f>
        <v>Do your systems or solutions store, process, or transmit cardholder (payment/credit/debt card) data?</v>
      </c>
      <c r="C66" s="21"/>
      <c r="D66" s="316"/>
      <c r="E66" s="163" t="str">
        <f>IF($C$20='Auto Responses'!$J$4,'Auto Responses'!$A$8,IF($C66='Auto Responses'!$J$3,VLOOKUP($A66,Questions!$A$2:$X$333,17,0)&amp;"",IF($C66='Auto Responses'!$J$4,VLOOKUP($A66,Questions!$A$2:$X$333,16,0)&amp;"",VLOOKUP($A66,Questions!$A$2:$X$333,15,0)&amp;"")))</f>
        <v>Based on the response to REQU-06 on the "START HERE" tab, this question does not apply to this product or service.</v>
      </c>
      <c r="F66" s="197" t="str">
        <f>VLOOKUP($A66,'Institution Evaluation'!$A$56:$F$345,6,0)&amp;""</f>
        <v/>
      </c>
      <c r="I66" s="35"/>
      <c r="J66" s="35"/>
    </row>
    <row r="67" spans="1:10" s="1" customFormat="1" ht="38.25" customHeight="1" x14ac:dyDescent="0.25">
      <c r="A67" s="19" t="s">
        <v>389</v>
      </c>
      <c r="B67" s="18" t="str">
        <f>VLOOKUP($A67,Questions!$A$2:$X$333,2,0)</f>
        <v>Are you compliant with the Payment Card Industry Data Security Standard (PCI DSS)?</v>
      </c>
      <c r="C67" s="21"/>
      <c r="D67" s="316"/>
      <c r="E67" s="163" t="str">
        <f>IF($C$20='Auto Responses'!$J$4,'Auto Responses'!$A$8,IF($C67='Auto Responses'!$J$3,VLOOKUP($A67,Questions!$A$2:$X$333,17,0)&amp;"",IF($C67='Auto Responses'!$J$4,VLOOKUP($A67,Questions!$A$2:$X$333,16,0)&amp;"",VLOOKUP($A67,Questions!$A$2:$X$333,15,0)&amp;"")))</f>
        <v>Based on the response to REQU-06 on the "START HERE" tab, this question does not apply to this product or service.</v>
      </c>
      <c r="F67" s="197" t="str">
        <f>VLOOKUP($A67,'Institution Evaluation'!$A$56:$F$345,6,0)&amp;""</f>
        <v/>
      </c>
      <c r="I67" s="35"/>
      <c r="J67" s="35"/>
    </row>
    <row r="68" spans="1:10" s="1" customFormat="1" ht="38.25" customHeight="1" x14ac:dyDescent="0.25">
      <c r="A68" s="19" t="s">
        <v>390</v>
      </c>
      <c r="B68" s="18" t="str">
        <f>VLOOKUP($A68,Questions!$A$2:$X$333,2,0)</f>
        <v>Are you classified as a service provider?</v>
      </c>
      <c r="C68" s="21"/>
      <c r="D68" s="316"/>
      <c r="E68" s="163" t="str">
        <f>IF($C$20='Auto Responses'!$J$4,'Auto Responses'!$A$8,IF($C68='Auto Responses'!$J$3,VLOOKUP($A68,Questions!$A$2:$X$333,17,0)&amp;"",IF($C68='Auto Responses'!$J$4,VLOOKUP($A68,Questions!$A$2:$X$333,16,0)&amp;"",VLOOKUP($A68,Questions!$A$2:$X$333,15,0)&amp;"")))</f>
        <v>Based on the response to REQU-06 on the "START HERE" tab, this question does not apply to this product or service.</v>
      </c>
      <c r="F68" s="197" t="str">
        <f>VLOOKUP($A68,'Institution Evaluation'!$A$56:$F$345,6,0)&amp;""</f>
        <v/>
      </c>
      <c r="I68" s="35"/>
      <c r="J68" s="35"/>
    </row>
    <row r="69" spans="1:10" s="1" customFormat="1" ht="38.25" customHeight="1" x14ac:dyDescent="0.25">
      <c r="A69" s="19" t="s">
        <v>391</v>
      </c>
      <c r="B69" s="18" t="str">
        <f>VLOOKUP($A69,Questions!$A$2:$X$333,2,0)</f>
        <v>Are you on the list of Visa approved service providers?</v>
      </c>
      <c r="C69" s="21"/>
      <c r="D69" s="316"/>
      <c r="E69" s="163" t="str">
        <f>IF($C$20='Auto Responses'!$J$4,'Auto Responses'!$A$8,IF($C69='Auto Responses'!$J$3,VLOOKUP($A69,Questions!$A$2:$X$333,17,0)&amp;"",IF($C69='Auto Responses'!$J$4,VLOOKUP($A69,Questions!$A$2:$X$333,16,0)&amp;"",VLOOKUP($A69,Questions!$A$2:$X$333,15,0)&amp;"")))</f>
        <v>Based on the response to REQU-06 on the "START HERE" tab, this question does not apply to this product or service.</v>
      </c>
      <c r="F69" s="197" t="str">
        <f>VLOOKUP($A69,'Institution Evaluation'!$A$56:$F$345,6,0)&amp;""</f>
        <v/>
      </c>
      <c r="I69" s="35"/>
      <c r="J69" s="35"/>
    </row>
    <row r="70" spans="1:10" s="1" customFormat="1" ht="48" customHeight="1" x14ac:dyDescent="0.25">
      <c r="A70" s="19" t="s">
        <v>392</v>
      </c>
      <c r="B70" s="18" t="str">
        <f>VLOOKUP($A70,Questions!$A$2:$X$333,2,0)</f>
        <v>Are you classified as a merchant? If so, what level (1, 2, 3, 4)?</v>
      </c>
      <c r="C70" s="21"/>
      <c r="D70" s="316"/>
      <c r="E70" s="163" t="str">
        <f>IF($C$20='Auto Responses'!$J$4,'Auto Responses'!$A$8,IF($C70='Auto Responses'!$J$3,VLOOKUP($A70,Questions!$A$2:$X$333,17,0)&amp;"",IF($C70='Auto Responses'!$J$4,VLOOKUP($A70,Questions!$A$2:$X$333,16,0)&amp;"",VLOOKUP($A70,Questions!$A$2:$X$333,15,0)&amp;"")))</f>
        <v>Based on the response to REQU-06 on the "START HERE" tab, this question does not apply to this product or service.</v>
      </c>
      <c r="F70" s="197" t="str">
        <f>VLOOKUP($A70,'Institution Evaluation'!$A$56:$F$345,6,0)&amp;""</f>
        <v/>
      </c>
      <c r="I70" s="35"/>
      <c r="J70" s="35"/>
    </row>
    <row r="71" spans="1:10" s="1" customFormat="1" ht="38.25" customHeight="1" x14ac:dyDescent="0.25">
      <c r="A71" s="19" t="s">
        <v>393</v>
      </c>
      <c r="B71" s="18" t="str">
        <f>VLOOKUP($A71,Questions!$A$2:$X$333,2,0)</f>
        <v>Describe the architecture employed by the system to verify and authorize credit card transactions.</v>
      </c>
      <c r="C71" s="76"/>
      <c r="D71" s="316"/>
      <c r="E71" s="163" t="str">
        <f>IF($C$20='Auto Responses'!$J$4,'Auto Responses'!$A$8,IF($C71='Auto Responses'!$J$3,VLOOKUP($A71,Questions!$A$2:$X$333,17,0)&amp;"",IF($C71='Auto Responses'!$J$4,VLOOKUP($A71,Questions!$A$2:$X$333,16,0)&amp;"",VLOOKUP($A71,Questions!$A$2:$X$333,15,0)&amp;"")))</f>
        <v>Based on the response to REQU-06 on the "START HERE" tab, this question does not apply to this product or service.</v>
      </c>
      <c r="F71" s="197" t="str">
        <f>VLOOKUP($A71,'Institution Evaluation'!$A$56:$F$345,6,0)&amp;""</f>
        <v/>
      </c>
      <c r="I71" s="35"/>
      <c r="J71" s="35"/>
    </row>
    <row r="72" spans="1:10" s="1" customFormat="1" ht="38.25" customHeight="1" x14ac:dyDescent="0.25">
      <c r="A72" s="19" t="s">
        <v>394</v>
      </c>
      <c r="B72" s="18" t="str">
        <f>VLOOKUP($A72,Questions!$A$2:$X$333,2,0)</f>
        <v>What payment processors/gateways does the system support?</v>
      </c>
      <c r="C72" s="76"/>
      <c r="D72" s="316"/>
      <c r="E72" s="163" t="str">
        <f>IF($C$20='Auto Responses'!$J$4,'Auto Responses'!$A$8,IF($C72='Auto Responses'!$J$3,VLOOKUP($A72,Questions!$A$2:$X$333,17,0)&amp;"",IF($C72='Auto Responses'!$J$4,VLOOKUP($A72,Questions!$A$2:$X$333,16,0)&amp;"",VLOOKUP($A72,Questions!$A$2:$X$333,15,0)&amp;"")))</f>
        <v>Based on the response to REQU-06 on the "START HERE" tab, this question does not apply to this product or service.</v>
      </c>
      <c r="F72" s="197" t="str">
        <f>VLOOKUP($A72,'Institution Evaluation'!$A$56:$F$345,6,0)&amp;""</f>
        <v/>
      </c>
      <c r="I72" s="35"/>
      <c r="J72" s="35"/>
    </row>
    <row r="73" spans="1:10" s="1" customFormat="1" ht="38.25" customHeight="1" x14ac:dyDescent="0.25">
      <c r="A73" s="19" t="s">
        <v>395</v>
      </c>
      <c r="B73" s="18" t="str">
        <f>VLOOKUP($A73,Questions!$A$2:$X$333,2,0)</f>
        <v>Can the application be installed in a PCI DSS–compliant manner?</v>
      </c>
      <c r="C73" s="21"/>
      <c r="D73" s="316"/>
      <c r="E73" s="163" t="str">
        <f>IF($C$20='Auto Responses'!$J$4,'Auto Responses'!$A$8,IF($C73='Auto Responses'!$J$3,VLOOKUP($A73,Questions!$A$2:$X$333,17,0)&amp;"",IF($C73='Auto Responses'!$J$4,VLOOKUP($A73,Questions!$A$2:$X$333,16,0)&amp;"",VLOOKUP($A73,Questions!$A$2:$X$333,15,0)&amp;"")))</f>
        <v>Based on the response to REQU-06 on the "START HERE" tab, this question does not apply to this product or service.</v>
      </c>
      <c r="F73" s="197" t="str">
        <f>VLOOKUP($A73,'Institution Evaluation'!$A$56:$F$345,6,0)&amp;""</f>
        <v/>
      </c>
      <c r="I73" s="35"/>
      <c r="J73" s="35"/>
    </row>
    <row r="74" spans="1:10" s="1" customFormat="1" ht="71.25" customHeight="1" thickBot="1" x14ac:dyDescent="0.3">
      <c r="A74" s="19" t="s">
        <v>396</v>
      </c>
      <c r="B74" s="18" t="str">
        <f>VLOOKUP($A74,Questions!$A$2:$X$333,2,0)</f>
        <v>Include documentation describing the system's abilities to comply with the PCI DSS and any features or capabilities of the system that must be added or changed in order to operate in compliance with the standards.</v>
      </c>
      <c r="C74" s="76"/>
      <c r="D74" s="316"/>
      <c r="E74" s="163" t="str">
        <f>IF($C$20='Auto Responses'!$J$4,'Auto Responses'!$A$8,IF($C74='Auto Responses'!$J$3,VLOOKUP($A74,Questions!$A$2:$X$333,17,0)&amp;"",IF($C74='Auto Responses'!$J$4,VLOOKUP($A74,Questions!$A$2:$X$333,16,0)&amp;"",VLOOKUP($A74,Questions!$A$2:$X$333,15,0)&amp;"")))</f>
        <v>Based on the response to REQU-06 on the "START HERE" tab, this question does not apply to this product or service.</v>
      </c>
      <c r="F74" s="197" t="str">
        <f>VLOOKUP($A74,'Institution Evaluation'!$A$56:$F$345,6,0)&amp;""</f>
        <v/>
      </c>
      <c r="G74" s="234" t="s">
        <v>36</v>
      </c>
      <c r="I74" s="35"/>
      <c r="J74" s="35"/>
    </row>
    <row r="75" spans="1:10" s="1" customFormat="1" ht="37.5" customHeight="1" thickBot="1" x14ac:dyDescent="0.3">
      <c r="A75" s="63" t="str">
        <f>VLOOKUP(LEFT($A76,4),'Auto Responses'!$N$4:$O$38,2,0)&amp;""</f>
        <v xml:space="preserve"> On-Premises Data Solutions</v>
      </c>
      <c r="B75" s="22"/>
      <c r="C75" s="13" t="s">
        <v>21</v>
      </c>
      <c r="D75" s="13" t="s">
        <v>22</v>
      </c>
      <c r="E75" s="31" t="s">
        <v>23</v>
      </c>
      <c r="F75" s="183" t="s">
        <v>24</v>
      </c>
      <c r="I75" s="35"/>
      <c r="J75" s="35"/>
    </row>
    <row r="76" spans="1:10" s="1" customFormat="1" ht="36" customHeight="1" x14ac:dyDescent="0.25">
      <c r="A76" s="19" t="s">
        <v>397</v>
      </c>
      <c r="B76" s="18" t="str">
        <f>VLOOKUP($A76,Questions!$A$2:$X$333,2,0)</f>
        <v>Do you support role-based access control (RBAC) for system administrators?</v>
      </c>
      <c r="C76" s="21"/>
      <c r="D76" s="316"/>
      <c r="E76" s="163" t="str">
        <f>IF($C$21='Auto Responses'!$J$4,'Auto Responses'!$A$9,IF($C76='Auto Responses'!$J$3,VLOOKUP($A76,Questions!$A$2:$X$333,17,0)&amp;"",IF($C76='Auto Responses'!$J$4,VLOOKUP($A76,Questions!$A$2:$X$333,16,0)&amp;"",VLOOKUP($A76,Questions!$A$2:$X$333,15,0)&amp;"")))</f>
        <v>Based on the response to REQU-07 on the "START HERE" tab, this question does not apply to this product or service.</v>
      </c>
      <c r="F76" s="197" t="str">
        <f>VLOOKUP($A76,'Institution Evaluation'!$A$56:$F$345,6,0)&amp;""</f>
        <v/>
      </c>
      <c r="I76" s="35"/>
      <c r="J76" s="35"/>
    </row>
    <row r="77" spans="1:10" s="1" customFormat="1" ht="28.5" customHeight="1" x14ac:dyDescent="0.25">
      <c r="A77" s="19" t="s">
        <v>398</v>
      </c>
      <c r="B77" s="18" t="str">
        <f>VLOOKUP($A77,Questions!$A$2:$X$333,2,0)</f>
        <v>Can your employees access customer systems remotely?</v>
      </c>
      <c r="C77" s="21"/>
      <c r="D77" s="316"/>
      <c r="E77" s="163" t="str">
        <f>IF($C$21='Auto Responses'!$J$4,'Auto Responses'!$A$9,IF($C77='Auto Responses'!$J$3,VLOOKUP($A77,Questions!$A$2:$X$333,17,0)&amp;"",IF($C77='Auto Responses'!$J$4,VLOOKUP($A77,Questions!$A$2:$X$333,16,0)&amp;"",VLOOKUP($A77,Questions!$A$2:$X$333,15,0)&amp;"")))</f>
        <v>Based on the response to REQU-07 on the "START HERE" tab, this question does not apply to this product or service.</v>
      </c>
      <c r="F77" s="197" t="str">
        <f>VLOOKUP($A77,'Institution Evaluation'!$A$56:$F$345,6,0)&amp;""</f>
        <v/>
      </c>
      <c r="I77" s="35"/>
      <c r="J77" s="35"/>
    </row>
    <row r="78" spans="1:10" s="1" customFormat="1" ht="68.25" customHeight="1" x14ac:dyDescent="0.25">
      <c r="A78" s="19" t="s">
        <v>399</v>
      </c>
      <c r="B78" s="18" t="str">
        <f>VLOOKUP($A78,Questions!$A$2:$X$333,2,0)</f>
        <v>Can you provide overall system and/or application architecture diagrams including a full description of the data communications architecture for all components of the system?</v>
      </c>
      <c r="C78" s="21"/>
      <c r="D78" s="316"/>
      <c r="E78" s="163" t="str">
        <f>IF($C$21='Auto Responses'!$J$4,'Auto Responses'!$A$9,IF($C78='Auto Responses'!$J$3,VLOOKUP($A78,Questions!$A$2:$X$333,17,0)&amp;"",IF($C78='Auto Responses'!$J$4,VLOOKUP($A78,Questions!$A$2:$X$333,16,0)&amp;"",VLOOKUP($A78,Questions!$A$2:$X$333,15,0)&amp;"")))</f>
        <v>Based on the response to REQU-07 on the "START HERE" tab, this question does not apply to this product or service.</v>
      </c>
      <c r="F78" s="197" t="str">
        <f>VLOOKUP($A78,'Institution Evaluation'!$A$56:$F$345,6,0)&amp;""</f>
        <v/>
      </c>
      <c r="I78" s="35"/>
      <c r="J78" s="35"/>
    </row>
    <row r="79" spans="1:10" s="1" customFormat="1" ht="46.5" customHeight="1" x14ac:dyDescent="0.25">
      <c r="A79" s="19" t="s">
        <v>400</v>
      </c>
      <c r="B79" s="18" t="str">
        <f>VLOOKUP($A79,Questions!$A$2:$X$333,2,0)</f>
        <v>Do you require remote management of the system?</v>
      </c>
      <c r="C79" s="21"/>
      <c r="D79" s="316"/>
      <c r="E79" s="163" t="str">
        <f>IF($C$21='Auto Responses'!$J$4,'Auto Responses'!$A$9,IF($C79='Auto Responses'!$J$3,VLOOKUP($A79,Questions!$A$2:$X$333,17,0)&amp;"",IF($C79='Auto Responses'!$J$4,VLOOKUP($A79,Questions!$A$2:$X$333,16,0)&amp;"",VLOOKUP($A79,Questions!$A$2:$X$333,15,0)&amp;"")))</f>
        <v>Based on the response to REQU-07 on the "START HERE" tab, this question does not apply to this product or service.</v>
      </c>
      <c r="F79" s="197" t="str">
        <f>VLOOKUP($A79,'Institution Evaluation'!$A$56:$F$345,6,0)&amp;""</f>
        <v/>
      </c>
      <c r="I79" s="35"/>
      <c r="J79" s="35"/>
    </row>
    <row r="80" spans="1:10" s="1" customFormat="1" ht="60" customHeight="1" x14ac:dyDescent="0.25">
      <c r="A80" s="19" t="s">
        <v>401</v>
      </c>
      <c r="B80" s="18" t="str">
        <f>VLOOKUP($A80,Questions!$A$2:$X$333,2,0)</f>
        <v>If you answered "yes" to OPEM-04, are your remote actions and changes logged or otherwise visible to the campus?</v>
      </c>
      <c r="C80" s="21"/>
      <c r="D80" s="316"/>
      <c r="E80" s="163" t="str">
        <f>IF($C$21='Auto Responses'!$J$4,'Auto Responses'!$A$9,IF($C80='Auto Responses'!$J$3,VLOOKUP($A80,Questions!$A$2:$X$333,17,0)&amp;"",IF($C80='Auto Responses'!$J$4,VLOOKUP($A80,Questions!$A$2:$X$333,16,0)&amp;"",IF($C80='Auto Responses'!$J$5,VLOOKUP($A80,Questions!$A$2:$X$333,18,0)&amp;"",VLOOKUP($A80,Questions!$A$2:$X$333,15,0)&amp;""))))</f>
        <v>Based on the response to REQU-07 on the "START HERE" tab, this question does not apply to this product or service.</v>
      </c>
      <c r="F80" s="197" t="str">
        <f>VLOOKUP($A80,'Institution Evaluation'!$A$56:$F$345,6,0)&amp;""</f>
        <v/>
      </c>
      <c r="I80" s="35"/>
      <c r="J80" s="35"/>
    </row>
    <row r="81" spans="1:12" s="1" customFormat="1" ht="47.25" customHeight="1" x14ac:dyDescent="0.25">
      <c r="A81" s="19" t="s">
        <v>402</v>
      </c>
      <c r="B81" s="18" t="str">
        <f>VLOOKUP($A81,Questions!$A$2:$X$333,2,0)</f>
        <v>If you maintain remote access to the system, will you handle data in a FERPA-compliant manner?</v>
      </c>
      <c r="C81" s="21"/>
      <c r="D81" s="316"/>
      <c r="E81" s="163" t="str">
        <f>IF($C$21='Auto Responses'!$J$4,'Auto Responses'!$A$9,IF($C81='Auto Responses'!$J$3,VLOOKUP($A81,Questions!$A$2:$X$333,17,0)&amp;"",IF($C81='Auto Responses'!$J$4,VLOOKUP($A81,Questions!$A$2:$X$333,16,0)&amp;"",IF($C81='Auto Responses'!$J$5,VLOOKUP($A81,Questions!$A$2:$X$333,18,0)&amp;"",VLOOKUP($A81,Questions!$A$2:$X$333,15,0)&amp;""))))</f>
        <v>Based on the response to REQU-07 on the "START HERE" tab, this question does not apply to this product or service.</v>
      </c>
      <c r="F81" s="197" t="str">
        <f>VLOOKUP($A81,'Institution Evaluation'!$A$56:$F$345,6,0)&amp;""</f>
        <v/>
      </c>
      <c r="I81" s="35"/>
      <c r="J81" s="35"/>
    </row>
    <row r="82" spans="1:12" s="1" customFormat="1" ht="43.5" customHeight="1" x14ac:dyDescent="0.25">
      <c r="A82" s="19" t="s">
        <v>403</v>
      </c>
      <c r="B82" s="18" t="str">
        <f>VLOOKUP($A82,Questions!$A$2:$X$333,2,0)</f>
        <v>Do you support campus status monitoring through SNMPv3 or other means?</v>
      </c>
      <c r="C82" s="21"/>
      <c r="D82" s="316"/>
      <c r="E82" s="163" t="str">
        <f>IF($C$21='Auto Responses'!$J$4,'Auto Responses'!$A$9,IF($C82='Auto Responses'!$J$3,VLOOKUP($A82,Questions!$A$2:$X$333,17,0)&amp;"",IF($C82='Auto Responses'!$J$4,VLOOKUP($A82,Questions!$A$2:$X$333,16,0)&amp;"",VLOOKUP($A82,Questions!$A$2:$X$333,15,0)&amp;"")))</f>
        <v>Based on the response to REQU-07 on the "START HERE" tab, this question does not apply to this product or service.</v>
      </c>
      <c r="F82" s="197" t="str">
        <f>VLOOKUP($A82,'Institution Evaluation'!$A$56:$F$345,6,0)&amp;""</f>
        <v/>
      </c>
      <c r="I82" s="35"/>
      <c r="J82" s="35"/>
    </row>
    <row r="83" spans="1:12" s="1" customFormat="1" ht="42" customHeight="1" x14ac:dyDescent="0.25">
      <c r="A83" s="19" t="s">
        <v>404</v>
      </c>
      <c r="B83" s="18" t="str">
        <f>VLOOKUP($A83,Questions!$A$2:$X$333,2,0)</f>
        <v>Describe or provide a reference to any other safeguards used to monitor for malicious activity.</v>
      </c>
      <c r="C83" s="68"/>
      <c r="D83" s="316"/>
      <c r="E83" s="163" t="str">
        <f>IF($C$21='Auto Responses'!$J$4,'Auto Responses'!$A$9,IF($C83='Auto Responses'!$J$3,VLOOKUP($A83,Questions!$A$2:$X$333,17,0)&amp;"",IF($C83='Auto Responses'!$J$4,VLOOKUP($A83,Questions!$A$2:$X$333,16,0)&amp;"",VLOOKUP($A83,Questions!$A$2:$X$333,15,0)&amp;"")))</f>
        <v>Based on the response to REQU-07 on the "START HERE" tab, this question does not apply to this product or service.</v>
      </c>
      <c r="F83" s="197" t="str">
        <f>VLOOKUP($A83,'Institution Evaluation'!$A$56:$F$345,6,0)&amp;""</f>
        <v/>
      </c>
      <c r="I83" s="35"/>
      <c r="J83" s="35"/>
    </row>
    <row r="84" spans="1:12" s="1" customFormat="1" ht="54" customHeight="1" x14ac:dyDescent="0.25">
      <c r="A84" s="19" t="s">
        <v>405</v>
      </c>
      <c r="B84" s="18" t="str">
        <f>VLOOKUP($A84,Questions!$A$2:$X$333,2,0)</f>
        <v>Describe how long your organization has conducted business in this area.</v>
      </c>
      <c r="C84" s="68"/>
      <c r="D84" s="316"/>
      <c r="E84" s="163" t="str">
        <f>IF($C$21='Auto Responses'!$J$4,'Auto Responses'!$A$9,IF($C84='Auto Responses'!$J$3,VLOOKUP($A84,Questions!$A$2:$X$333,17,0)&amp;"",IF($C84='Auto Responses'!$J$4,VLOOKUP($A84,Questions!$A$2:$X$333,16,0)&amp;"",VLOOKUP($A84,Questions!$A$2:$X$333,15,0)&amp;"")))</f>
        <v>Based on the response to REQU-07 on the "START HERE" tab, this question does not apply to this product or service.</v>
      </c>
      <c r="F84" s="197" t="str">
        <f>VLOOKUP($A84,'Institution Evaluation'!$A$56:$F$345,6,0)&amp;""</f>
        <v/>
      </c>
      <c r="I84" s="35"/>
      <c r="J84" s="35"/>
    </row>
    <row r="85" spans="1:12" s="1" customFormat="1" ht="39.75" customHeight="1" x14ac:dyDescent="0.25">
      <c r="A85" s="19" t="s">
        <v>406</v>
      </c>
      <c r="B85" s="18" t="str">
        <f>VLOOKUP($A85,Questions!$A$2:$X$333,2,0)</f>
        <v>Do you have existing higher education customers?</v>
      </c>
      <c r="C85" s="21"/>
      <c r="D85" s="316"/>
      <c r="E85" s="163" t="str">
        <f>IF($C$21='Auto Responses'!$J$4,'Auto Responses'!$A$9,IF($C85='Auto Responses'!$J$3,VLOOKUP($A85,Questions!$A$2:$X$333,17,0)&amp;"",IF($C85='Auto Responses'!$J$4,VLOOKUP($A85,Questions!$A$2:$X$333,16,0)&amp;"",VLOOKUP($A85,Questions!$A$2:$X$333,15,0)&amp;"")))</f>
        <v>Based on the response to REQU-07 on the "START HERE" tab, this question does not apply to this product or service.</v>
      </c>
      <c r="F85" s="197" t="str">
        <f>VLOOKUP($A85,'Institution Evaluation'!$A$56:$F$345,6,0)&amp;""</f>
        <v/>
      </c>
      <c r="G85" s="234" t="s">
        <v>36</v>
      </c>
      <c r="I85" s="35"/>
      <c r="J85" s="35"/>
    </row>
    <row r="86" spans="1:12" s="1" customFormat="1" ht="36.75" customHeight="1" x14ac:dyDescent="0.25">
      <c r="A86" s="263" t="s">
        <v>54</v>
      </c>
      <c r="C86" s="8"/>
      <c r="D86" s="9"/>
      <c r="E86" s="10"/>
      <c r="I86" s="35"/>
      <c r="J86" s="35"/>
    </row>
    <row r="87" spans="1:12" ht="15" hidden="1" customHeight="1" x14ac:dyDescent="0.25">
      <c r="A87" s="1"/>
      <c r="B87" s="8"/>
      <c r="C87" s="71"/>
      <c r="D87" s="10"/>
      <c r="E87" s="1"/>
      <c r="H87" s="35"/>
      <c r="I87" s="1"/>
      <c r="J87" s="1"/>
      <c r="L87"/>
    </row>
    <row r="88" spans="1:12" ht="0" hidden="1" customHeight="1" x14ac:dyDescent="0.25">
      <c r="A88" s="19" t="e">
        <f>#REF!</f>
        <v>#REF!</v>
      </c>
    </row>
    <row r="89" spans="1:12" ht="0" hidden="1" customHeight="1" x14ac:dyDescent="0.25">
      <c r="A89" s="19" t="e">
        <f>#REF!</f>
        <v>#REF!</v>
      </c>
    </row>
    <row r="90" spans="1:12" ht="0" hidden="1" customHeight="1" x14ac:dyDescent="0.25">
      <c r="A90" s="19" t="e">
        <f>#REF!</f>
        <v>#REF!</v>
      </c>
    </row>
    <row r="91" spans="1:12" ht="0" hidden="1" customHeight="1" x14ac:dyDescent="0.25">
      <c r="A91" s="19" t="e">
        <f>#REF!</f>
        <v>#REF!</v>
      </c>
    </row>
    <row r="92" spans="1:12" ht="0" hidden="1" customHeight="1" x14ac:dyDescent="0.25">
      <c r="A92" s="19" t="e">
        <f>#REF!</f>
        <v>#REF!</v>
      </c>
    </row>
    <row r="93" spans="1:12" ht="0" hidden="1" customHeight="1" x14ac:dyDescent="0.25">
      <c r="A93" s="19" t="e">
        <f>#REF!</f>
        <v>#REF!</v>
      </c>
    </row>
    <row r="94" spans="1:12" ht="0" hidden="1" customHeight="1" x14ac:dyDescent="0.25">
      <c r="A94" s="19" t="e">
        <f>#REF!</f>
        <v>#REF!</v>
      </c>
    </row>
  </sheetData>
  <dataValidations count="3">
    <dataValidation allowBlank="1" showInputMessage="1" showErrorMessage="1" promptTitle="Warning!" prompt="The HECVAT is built using a number of complex formulas. Editing this cell can break the functionality of the tool. " sqref="A86:B86 A3:A85 C22:D22 C17:D17 C4:F12 C2 D2:F3 C32:D32 C62:D62 C75:D75 B2:B85 E17:F85" xr:uid="{A2581C39-9085-48B1-A01A-98689938B231}"/>
    <dataValidation allowBlank="1" showInputMessage="1" showErrorMessage="1" prompt="This cell should be left blank. Input your answer in column C." sqref="D83:D84 D55 D74 D71:D72" xr:uid="{99745918-BD4C-404F-8EB6-FD6830D1AC83}"/>
    <dataValidation allowBlank="1" showInputMessage="1" showErrorMessage="1" prompt="This answer has been populated from the &quot;START HERE&quot; tab and does not need to be re-entered." sqref="C3 C13:C16 C18:C21" xr:uid="{9EE03F77-63F1-45F4-A6B3-47A7EC079DDB}"/>
  </dataValidations>
  <hyperlinks>
    <hyperlink ref="A11" r:id="rId1" display="http://www.educause.edu/HECVAT" xr:uid="{F36A12FA-6B13-4624-87B5-D2BDA6B134CD}"/>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8E39B49-FDFC-4B06-A569-4463DA1A706A}">
          <x14:formula1>
            <xm:f>'Auto Responses'!$J$3:$J$4</xm:f>
          </x14:formula1>
          <xm:sqref>C73 C85 C27:C31 C33:C54 C56:C61 C76:C79 C23:C24 C63:C70 C82</xm:sqref>
        </x14:dataValidation>
        <x14:dataValidation type="list" allowBlank="1" showInputMessage="1" showErrorMessage="1" xr:uid="{EF1A7EE7-C7A2-403F-A736-199B3CEF11D0}">
          <x14:formula1>
            <xm:f>'Auto Responses'!$J$3:$J$5</xm:f>
          </x14:formula1>
          <xm:sqref>C25:C26 C80:C81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2E64-EA3F-4B77-8C3F-88A9ACA8C66C}">
  <sheetPr>
    <tabColor rgb="FF00636C"/>
  </sheetPr>
  <dimension ref="A1:L1048576"/>
  <sheetViews>
    <sheetView showGridLines="0" showZeros="0" topLeftCell="A46" zoomScale="160" zoomScaleNormal="81" workbookViewId="0">
      <selection activeCell="B51" sqref="B51"/>
    </sheetView>
  </sheetViews>
  <sheetFormatPr defaultColWidth="0" defaultRowHeight="0" customHeight="1" zeroHeight="1" x14ac:dyDescent="0.25"/>
  <cols>
    <col min="1" max="1" width="8.265625" customWidth="1"/>
    <col min="2" max="2" width="55.1328125" style="1" customWidth="1"/>
    <col min="3" max="3" width="18.86328125" style="8" customWidth="1"/>
    <col min="4" max="4" width="55.59765625" style="9" customWidth="1"/>
    <col min="5" max="5" width="32" style="10" customWidth="1"/>
    <col min="6" max="6" width="30.59765625" style="194" customWidth="1"/>
    <col min="7" max="7" width="18.1328125" style="1" customWidth="1"/>
    <col min="8" max="8" width="18.1328125" style="1" hidden="1" customWidth="1"/>
    <col min="9" max="10" width="18.1328125" style="35" hidden="1" customWidth="1"/>
    <col min="11" max="11" width="4.46484375" style="1" hidden="1" customWidth="1"/>
    <col min="12" max="12" width="6.59765625" style="1" hidden="1" customWidth="1"/>
    <col min="13" max="16384" width="6.59765625" hidden="1"/>
  </cols>
  <sheetData>
    <row r="1" spans="1:10" ht="0" hidden="1" customHeight="1" x14ac:dyDescent="0.25">
      <c r="A1" t="s">
        <v>0</v>
      </c>
    </row>
    <row r="2" spans="1:10" ht="36" customHeight="1" x14ac:dyDescent="0.25">
      <c r="A2" s="164" t="s">
        <v>407</v>
      </c>
      <c r="B2" s="164"/>
      <c r="C2" s="165"/>
      <c r="D2" s="304"/>
      <c r="E2" s="166"/>
      <c r="F2" s="193" t="str">
        <f>'Auto Responses'!$A$36</f>
        <v>Version 4.1.5</v>
      </c>
      <c r="J2" s="1"/>
    </row>
    <row r="3" spans="1:10" s="1" customFormat="1" ht="29.25" customHeight="1" x14ac:dyDescent="0.25">
      <c r="A3" s="37" t="s">
        <v>2</v>
      </c>
      <c r="B3" s="38"/>
      <c r="C3" s="66">
        <f>'START HERE'!$C$3</f>
        <v>46255</v>
      </c>
      <c r="D3" s="305"/>
      <c r="E3" s="36"/>
      <c r="F3" s="50"/>
      <c r="I3" s="35"/>
    </row>
    <row r="4" spans="1:10" s="1" customFormat="1" ht="36" customHeight="1" x14ac:dyDescent="0.25">
      <c r="A4" s="11" t="s">
        <v>3</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6"/>
      <c r="E5" s="16"/>
      <c r="F5" s="257"/>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6"/>
      <c r="E6" s="16"/>
      <c r="F6" s="258"/>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6"/>
      <c r="E7" s="16"/>
      <c r="F7" s="258"/>
      <c r="I7" s="35"/>
    </row>
    <row r="8" spans="1:10" s="1" customFormat="1" ht="19.5" customHeight="1" x14ac:dyDescent="0.25">
      <c r="A8" s="42" t="str">
        <f>HLOOKUP($A$4,'Auto Responses'!$D$2:$D$8,5,0)&amp;""</f>
        <v>4. DO NOT complete any fields in the "Evaluation" sheets or the "Analyst Notes" column.</v>
      </c>
      <c r="B8" s="16"/>
      <c r="C8" s="67"/>
      <c r="D8" s="306"/>
      <c r="E8" s="16"/>
      <c r="F8" s="258"/>
      <c r="I8" s="35"/>
    </row>
    <row r="9" spans="1:10" s="1" customFormat="1" ht="19.5" customHeight="1" x14ac:dyDescent="0.25">
      <c r="A9" s="42" t="str">
        <f>HLOOKUP($A$4,'Auto Responses'!$D$2:$D$8,6,0)&amp;""</f>
        <v>5. Return the completed file to institutions.</v>
      </c>
      <c r="B9" s="16"/>
      <c r="C9" s="67"/>
      <c r="D9" s="306"/>
      <c r="E9" s="16"/>
      <c r="F9" s="258"/>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6"/>
      <c r="E10" s="16"/>
      <c r="F10" s="258"/>
      <c r="I10" s="35"/>
    </row>
    <row r="11" spans="1:10" s="1" customFormat="1" ht="19.5" customHeight="1" x14ac:dyDescent="0.25">
      <c r="A11" s="242" t="str">
        <f>HLOOKUP($A$4,'Auto Responses'!$D$2:$D$9,8,0)&amp;""</f>
        <v>For full instructions, please visit educause.edu/HECVAT</v>
      </c>
      <c r="B11" s="16"/>
      <c r="C11" s="67"/>
      <c r="D11" s="306"/>
      <c r="E11" s="16"/>
      <c r="F11" s="259"/>
      <c r="I11" s="35"/>
    </row>
    <row r="12" spans="1:10" s="1" customFormat="1" ht="36" customHeight="1" x14ac:dyDescent="0.25">
      <c r="A12" s="63" t="str">
        <f>VLOOKUP(LEFT($A13,4),'Auto Responses'!$N$4:$O$38,2,0)&amp;""</f>
        <v xml:space="preserve"> General Information</v>
      </c>
      <c r="B12" s="12"/>
      <c r="C12" s="13" t="s">
        <v>21</v>
      </c>
      <c r="D12" s="307"/>
      <c r="E12" s="17"/>
      <c r="F12" s="17"/>
      <c r="I12" s="35"/>
      <c r="J12" s="35"/>
    </row>
    <row r="13" spans="1:10" s="1" customFormat="1" ht="22.5" customHeight="1" x14ac:dyDescent="0.25">
      <c r="A13" s="19" t="s">
        <v>4</v>
      </c>
      <c r="B13" s="20" t="str">
        <f>VLOOKUP($A13,Questions!$A$2:$X$333,2,0)&amp;""</f>
        <v>Solution Provider Name</v>
      </c>
      <c r="C13" s="76" t="str">
        <f>VLOOKUP($A13,'START HERE'!$A$13:$C$21,3,0)&amp;""</f>
        <v>Preservica Inc</v>
      </c>
      <c r="D13" s="32"/>
      <c r="E13" s="32"/>
      <c r="F13" s="50"/>
      <c r="I13" s="35"/>
      <c r="J13" s="35"/>
    </row>
    <row r="14" spans="1:10" s="1" customFormat="1" ht="22.5" customHeight="1" x14ac:dyDescent="0.25">
      <c r="A14" s="19" t="s">
        <v>6</v>
      </c>
      <c r="B14" s="20" t="str">
        <f>VLOOKUP($A14,Questions!$A$2:$X$333,2,0)&amp;""</f>
        <v>Solution Name</v>
      </c>
      <c r="C14" s="76" t="str">
        <f>VLOOKUP($A14,'START HERE'!$A$13:$C$21,3,0)&amp;""</f>
        <v>Preservica Pro, Preservica Pro Plus, Preservica Enterprise, Preservica Enterprise Plus - v9.x</v>
      </c>
      <c r="D14" s="32"/>
      <c r="E14" s="32"/>
      <c r="F14" s="50"/>
      <c r="I14" s="35"/>
      <c r="J14" s="35"/>
    </row>
    <row r="15" spans="1:10" s="1" customFormat="1" ht="22.5" customHeight="1" x14ac:dyDescent="0.25">
      <c r="A15" s="19" t="s">
        <v>8</v>
      </c>
      <c r="B15" s="20" t="str">
        <f>VLOOKUP($A15,Questions!$A$2:$X$333,2,0)&amp;""</f>
        <v>Solution Description</v>
      </c>
      <c r="C15" s="76" t="str">
        <f>VLOOKUP($A15,'START HERE'!$A$13:$C$21,3,0)&amp;""</f>
        <v>Preservica combines all the core requirements for successful long-term active digital preservation – including public and secure access - into a single integrated application that can be quickly deployed and hosted in the cloud.</v>
      </c>
      <c r="D15" s="32"/>
      <c r="E15" s="32"/>
      <c r="F15" s="50"/>
      <c r="I15" s="35"/>
      <c r="J15" s="35"/>
    </row>
    <row r="16" spans="1:10" s="1" customFormat="1" ht="22.5" customHeight="1" thickBot="1" x14ac:dyDescent="0.3">
      <c r="A16" s="19" t="s">
        <v>17</v>
      </c>
      <c r="B16" s="20" t="str">
        <f>VLOOKUP($A16,Questions!$A$2:$X$333,2,0)&amp;""</f>
        <v>Country of Company Headquarters</v>
      </c>
      <c r="C16" s="76" t="str">
        <f>VLOOKUP($A16,'START HERE'!$A$13:$C$21,3,0)&amp;""</f>
        <v>UK</v>
      </c>
      <c r="D16" s="32"/>
      <c r="E16" s="32"/>
      <c r="F16" s="50"/>
      <c r="I16" s="35"/>
      <c r="J16" s="35"/>
    </row>
    <row r="17" spans="1:10" s="1" customFormat="1" ht="37.5" customHeight="1" thickBot="1" x14ac:dyDescent="0.3">
      <c r="A17" s="63" t="str">
        <f>VLOOKUP(LEFT($A18,4),'Auto Responses'!$N$4:$O$38,2,0)&amp;""</f>
        <v xml:space="preserve"> Required Questions</v>
      </c>
      <c r="B17" s="22"/>
      <c r="C17" s="13" t="s">
        <v>21</v>
      </c>
      <c r="D17" s="13" t="s">
        <v>22</v>
      </c>
      <c r="E17" s="31" t="s">
        <v>23</v>
      </c>
      <c r="F17" s="198" t="s">
        <v>24</v>
      </c>
      <c r="I17" s="35"/>
      <c r="J17" s="35"/>
    </row>
    <row r="18" spans="1:10" s="1" customFormat="1" ht="81.5" thickBot="1" x14ac:dyDescent="0.3">
      <c r="A18" s="19" t="s">
        <v>43</v>
      </c>
      <c r="B18" s="18" t="str">
        <f>VLOOKUP($A18,Questions!$A$2:$X$333,2,0)</f>
        <v>Does your solution have AI features, or are there plans to implement AI features in the next 12 months?</v>
      </c>
      <c r="C18" s="72" t="str">
        <f>VLOOKUP($A18,'START HERE'!$A$23:$F$36,3,0)&amp;""</f>
        <v>Yes</v>
      </c>
      <c r="D18" s="308" t="str">
        <f>VLOOKUP($A18,'START HERE'!$A$23:$F$36,4,0)&amp;""</f>
        <v>Preservica offers opt-in AI capabilities for archival workflows, including OCR, PII identification, image description, audio and video transcription, and metadata quality checks. No AI processing occurs by default — features must be explicitly enabled by the customer, and outputs are presented for human review rather than acted on autonomously. The specific features available depend on product edition and configuration.</v>
      </c>
      <c r="E18" s="163" t="str">
        <f>IF($C18='Auto Responses'!$J$3,VLOOKUP($A18,Questions!$A$2:$X$333,17,0)&amp;"",IF($C18='Auto Responses'!$J$4,VLOOKUP($A18,Questions!$A$2:$X$333,16,0)&amp;"",VLOOKUP($A18,Questions!$A$2:$X$333,15,0)&amp;""))</f>
        <v>DO complete the Artificial Intelligence (AI) worksheet</v>
      </c>
      <c r="F18" s="197" t="str">
        <f>VLOOKUP($A18,'Institution Evaluation'!$A$56:$F$345,6,0)&amp;""</f>
        <v/>
      </c>
      <c r="G18" s="234" t="s">
        <v>36</v>
      </c>
      <c r="I18" s="35"/>
      <c r="J18" s="35"/>
    </row>
    <row r="19" spans="1:10" s="1" customFormat="1" ht="37.5" customHeight="1" thickBot="1" x14ac:dyDescent="0.3">
      <c r="A19" s="63" t="str">
        <f>VLOOKUP(LEFT($A20,4),'Auto Responses'!$N$4:$O$38,2,0)&amp;""</f>
        <v xml:space="preserve"> AI Qualifying Questions</v>
      </c>
      <c r="B19" s="22"/>
      <c r="C19" s="13" t="s">
        <v>21</v>
      </c>
      <c r="D19" s="13" t="s">
        <v>22</v>
      </c>
      <c r="E19" s="31" t="s">
        <v>23</v>
      </c>
      <c r="F19" s="198" t="s">
        <v>24</v>
      </c>
      <c r="I19" s="35"/>
      <c r="J19" s="35"/>
    </row>
    <row r="20" spans="1:10" s="1" customFormat="1" ht="81" x14ac:dyDescent="0.25">
      <c r="A20" s="19" t="s">
        <v>408</v>
      </c>
      <c r="B20" s="18" t="str">
        <f>VLOOKUP($A20,Questions!$A$2:$X$333,2,0)</f>
        <v>Does your solution leverage machine learning (ML) or do you plan to do so in the next 12 months?</v>
      </c>
      <c r="C20" s="21" t="s">
        <v>26</v>
      </c>
      <c r="D20" s="309" t="s">
        <v>409</v>
      </c>
      <c r="E20" s="163" t="str">
        <f>IF($C$18='Auto Responses'!$J$4,'Auto Responses'!$A$6,IF($C20='Auto Responses'!$J$3,VLOOKUP($A20,Questions!$A$2:$X$333,17,0)&amp;"",IF($C20='Auto Responses'!$J$4,VLOOKUP($A20,Questions!$A$2:$X$333,16,0)&amp;"",VLOOKUP($A20,Questions!$A$2:$X$333,15,0)&amp;"")))</f>
        <v>DO complete the Machine Learning section (AIML)</v>
      </c>
      <c r="F20" s="197" t="str">
        <f>VLOOKUP($A20,'Institution Evaluation'!$A$56:$F$345,6,0)&amp;""</f>
        <v/>
      </c>
      <c r="I20" s="35"/>
      <c r="J20" s="35"/>
    </row>
    <row r="21" spans="1:10" s="1" customFormat="1" ht="54.5" thickBot="1" x14ac:dyDescent="0.3">
      <c r="A21" s="19" t="s">
        <v>410</v>
      </c>
      <c r="B21" s="18" t="str">
        <f>VLOOKUP($A21,Questions!$A$2:$X$333,2,0)</f>
        <v>Does your solution leverage a large language model (LLM) or do you plan to do so in the next 12 months?</v>
      </c>
      <c r="C21" s="21" t="s">
        <v>46</v>
      </c>
      <c r="D21" s="309" t="s">
        <v>411</v>
      </c>
      <c r="E21" s="163" t="str">
        <f>IF($C$18='Auto Responses'!$J$4,'Auto Responses'!$A$6,IF($C21='Auto Responses'!$J$3,VLOOKUP($A21,Questions!$A$2:$X$333,17,0)&amp;"",IF($C21='Auto Responses'!$J$4,VLOOKUP($A21,Questions!$A$2:$X$333,16,0)&amp;"",VLOOKUP($A21,Questions!$A$2:$X$333,15,0)&amp;"")))</f>
        <v>DO NOT complete the Large Language Model section (AILM)</v>
      </c>
      <c r="F21" s="197" t="str">
        <f>VLOOKUP($A21,'Institution Evaluation'!$A$56:$F$345,6,0)&amp;""</f>
        <v/>
      </c>
      <c r="G21" s="234" t="s">
        <v>36</v>
      </c>
      <c r="I21" s="35"/>
      <c r="J21" s="35"/>
    </row>
    <row r="22" spans="1:10" s="1" customFormat="1" ht="37.5" customHeight="1" thickBot="1" x14ac:dyDescent="0.3">
      <c r="A22" s="63" t="str">
        <f>VLOOKUP(LEFT($A23,4),'Auto Responses'!$N$4:$O$38,2,0)&amp;""</f>
        <v xml:space="preserve"> General AI Questions</v>
      </c>
      <c r="B22" s="22"/>
      <c r="C22" s="13" t="s">
        <v>21</v>
      </c>
      <c r="D22" s="13" t="s">
        <v>22</v>
      </c>
      <c r="E22" s="31" t="s">
        <v>23</v>
      </c>
      <c r="F22" s="198" t="s">
        <v>24</v>
      </c>
      <c r="I22" s="35"/>
      <c r="J22" s="35"/>
    </row>
    <row r="23" spans="1:10" s="1" customFormat="1" ht="175.5" x14ac:dyDescent="0.25">
      <c r="A23" s="19" t="s">
        <v>412</v>
      </c>
      <c r="B23" s="18" t="str">
        <f>VLOOKUP($A23,Questions!$A$2:$X$333,2,0)</f>
        <v>Does your solution have an AI risk model when developing or implementing your solution's AI model?*</v>
      </c>
      <c r="C23" s="21" t="s">
        <v>26</v>
      </c>
      <c r="D23" s="309" t="s">
        <v>413</v>
      </c>
      <c r="E23" s="163" t="str">
        <f>IF($C$18='Auto Responses'!$J$4,'Auto Responses'!$A$6,IF($C23='Auto Responses'!$J$3,VLOOKUP($A23,Questions!$A$2:$X$333,17,0)&amp;"",IF($C23='Auto Responses'!$J$4,VLOOKUP($A23,Questions!$A$2:$X$333,16,0)&amp;"",VLOOKUP($A23,Questions!$A$2:$X$333,15,0)&amp;"")))</f>
        <v>Provide the AI risk framework, model, or methodology used.</v>
      </c>
      <c r="F23" s="197" t="str">
        <f>VLOOKUP($A23,'Institution Evaluation'!$A$56:$F$345,6,0)&amp;""</f>
        <v/>
      </c>
      <c r="I23" s="35"/>
      <c r="J23" s="35"/>
    </row>
    <row r="24" spans="1:10" s="1" customFormat="1" ht="94.5" x14ac:dyDescent="0.25">
      <c r="A24" s="19" t="s">
        <v>414</v>
      </c>
      <c r="B24" s="18" t="str">
        <f>VLOOKUP($A24,Questions!$A$2:$X$333,2,0)</f>
        <v>Can your solution's AI features be disabled by tenant and/or user?*</v>
      </c>
      <c r="C24" s="21" t="s">
        <v>26</v>
      </c>
      <c r="D24" s="373" t="s">
        <v>415</v>
      </c>
      <c r="E24" s="163" t="str">
        <f>IF($C$18='Auto Responses'!$J$4,'Auto Responses'!$A$6,IF($C24='Auto Responses'!$J$3,VLOOKUP($A24,Questions!$A$2:$X$333,17,0)&amp;"",IF($C24='Auto Responses'!$J$4,VLOOKUP($A24,Questions!$A$2:$X$333,16,0)&amp;"",IF($C24='Auto Responses'!$J$5,VLOOKUP($A24,Questions!$A$2:$X$333,18,0)&amp;"",VLOOKUP($A24,Questions!$A$2:$X$333,15,0)&amp;""))))</f>
        <v>Describe the level of AI feature control at the institutional and user level.</v>
      </c>
      <c r="F24" s="197" t="str">
        <f>VLOOKUP($A24,'Institution Evaluation'!$A$56:$F$345,6,0)&amp;""</f>
        <v/>
      </c>
      <c r="I24" s="35"/>
      <c r="J24" s="35"/>
    </row>
    <row r="25" spans="1:10" s="1" customFormat="1" ht="108" x14ac:dyDescent="0.25">
      <c r="A25" s="19" t="s">
        <v>416</v>
      </c>
      <c r="B25" s="18" t="str">
        <f>VLOOKUP($A25,Questions!$A$2:$X$333,2,0)</f>
        <v>Have your staff completed responsible AI training?*</v>
      </c>
      <c r="C25" s="21" t="s">
        <v>26</v>
      </c>
      <c r="D25" s="373" t="s">
        <v>417</v>
      </c>
      <c r="E25" s="163" t="str">
        <f>IF($C$18='Auto Responses'!$J$4,'Auto Responses'!$A$6,IF($C25='Auto Responses'!$J$3,VLOOKUP($A25,Questions!$A$2:$X$333,17,0)&amp;"",IF($C25='Auto Responses'!$J$4,VLOOKUP($A25,Questions!$A$2:$X$333,16,0)&amp;"",VLOOKUP($A25,Questions!$A$2:$X$333,15,0)&amp;"")))</f>
        <v>Provide the following details about your responsible AI training program: learning objectives, frequency, alignment with standards (e.g., NIST), and who is required to complete the training.</v>
      </c>
      <c r="F25" s="197" t="str">
        <f>VLOOKUP($A25,'Institution Evaluation'!$A$56:$F$345,6,0)&amp;""</f>
        <v/>
      </c>
      <c r="I25" s="35"/>
      <c r="J25" s="35"/>
    </row>
    <row r="26" spans="1:10" s="1" customFormat="1" ht="324" x14ac:dyDescent="0.25">
      <c r="A26" s="19" t="s">
        <v>418</v>
      </c>
      <c r="B26" s="18" t="str">
        <f>VLOOKUP($A26,Questions!$A$2:$X$333,2,0)</f>
        <v>Please describe the capabilities of your solution's AI features.</v>
      </c>
      <c r="C26" s="21"/>
      <c r="D26" s="370" t="s">
        <v>2144</v>
      </c>
      <c r="E26" s="163" t="str">
        <f>IF($C$18='Auto Responses'!$J$4,'Auto Responses'!$A$6,IF($D26='Auto Responses'!$J$3,VLOOKUP($A26,Questions!$A$2:$X$333,17,0)&amp;"",IF($D26='Auto Responses'!$J$4,VLOOKUP($A26,Questions!$A$2:$X$333,16,0)&amp;"",VLOOKUP($A26,Questions!$A$2:$X$333,15,0)&amp;"")))</f>
        <v>Describe capabilities such as content (text, image, audio, speech, video, or code) generation, visual interpretation, and predictive analytics. This encompasses all AI implementations, including third-party AI features. Clarify use cases or limits of the model.</v>
      </c>
      <c r="F26" s="197" t="str">
        <f>VLOOKUP($A26,'Institution Evaluation'!$A$56:$F$345,6,0)&amp;""</f>
        <v/>
      </c>
      <c r="I26" s="35"/>
      <c r="J26" s="35"/>
    </row>
    <row r="27" spans="1:10" s="1" customFormat="1" ht="135.5" thickBot="1" x14ac:dyDescent="0.3">
      <c r="A27" s="19" t="s">
        <v>419</v>
      </c>
      <c r="B27" s="18" t="str">
        <f>VLOOKUP($A27,Questions!$A$2:$X$333,2,0)</f>
        <v>Does your solution support business rules to protect sensitive data from being ingested by the AI model?</v>
      </c>
      <c r="C27" s="21" t="s">
        <v>26</v>
      </c>
      <c r="D27" s="373" t="s">
        <v>420</v>
      </c>
      <c r="E27" s="163" t="str">
        <f>IF($C$18='Auto Responses'!$J$4,'Auto Responses'!$A$6,IF($C27='Auto Responses'!$J$3,VLOOKUP($A27,Questions!$A$2:$X$333,17,0)&amp;"",IF($C27='Auto Responses'!$J$4,VLOOKUP($A27,Questions!$A$2:$X$333,16,0)&amp;"",VLOOKUP($A27,Questions!$A$2:$X$333,15,0)&amp;"")))</f>
        <v>Provide data loss prevention (DLP) features as they relate to your AI offerings. Indicate whether these DLP rules are configurable at the institutional and/or user level.</v>
      </c>
      <c r="F27" s="197" t="str">
        <f>VLOOKUP($A27,'Institution Evaluation'!$A$56:$F$345,6,0)&amp;""</f>
        <v/>
      </c>
      <c r="G27" s="234" t="s">
        <v>36</v>
      </c>
      <c r="I27" s="35"/>
      <c r="J27" s="35"/>
    </row>
    <row r="28" spans="1:10" s="1" customFormat="1" ht="37.5" customHeight="1" thickBot="1" x14ac:dyDescent="0.3">
      <c r="A28" s="63" t="str">
        <f>VLOOKUP(LEFT($A29,4),'Auto Responses'!$N$4:$O$38,2,0)&amp;""</f>
        <v xml:space="preserve"> AI Policy</v>
      </c>
      <c r="B28" s="22"/>
      <c r="C28" s="13" t="s">
        <v>21</v>
      </c>
      <c r="D28" s="13" t="s">
        <v>22</v>
      </c>
      <c r="E28" s="31" t="s">
        <v>23</v>
      </c>
      <c r="F28" s="198" t="s">
        <v>24</v>
      </c>
      <c r="I28" s="35"/>
      <c r="J28" s="35"/>
    </row>
    <row r="29" spans="1:10" s="1" customFormat="1" ht="189" x14ac:dyDescent="0.25">
      <c r="A29" s="19" t="s">
        <v>421</v>
      </c>
      <c r="B29" s="18" t="str">
        <f>VLOOKUP($A29,Questions!$A$2:$X$333,2,0)</f>
        <v>Are your AI developer's policies, processes, procedures, and practices across the organization related to the mapping, measuring, and managing of AI risks conspicuously posted, unambiguous, and implemented effectively?*</v>
      </c>
      <c r="C29" s="21" t="s">
        <v>26</v>
      </c>
      <c r="D29" s="309" t="s">
        <v>422</v>
      </c>
      <c r="E29" s="163" t="str">
        <f>IF($C$18='Auto Responses'!$J$4,'Auto Responses'!$A$6,IF($C29='Auto Responses'!$J$3,VLOOKUP($A29,Questions!$A$2:$X$333,17,0)&amp;"",IF($C29='Auto Responses'!$J$4,VLOOKUP($A29,Questions!$A$2:$X$333,16,0)&amp;"",VLOOKUP($A29,Questions!$A$2:$X$333,15,0)&amp;"")))</f>
        <v/>
      </c>
      <c r="F29" s="197" t="str">
        <f>VLOOKUP($A29,'Institution Evaluation'!$A$56:$F$345,6,0)&amp;""</f>
        <v/>
      </c>
      <c r="I29" s="35"/>
      <c r="J29" s="35"/>
    </row>
    <row r="30" spans="1:10" s="1" customFormat="1" ht="189" x14ac:dyDescent="0.25">
      <c r="A30" s="19" t="s">
        <v>423</v>
      </c>
      <c r="B30" s="18" t="str">
        <f>VLOOKUP($A30,Questions!$A$2:$X$333,2,0)</f>
        <v>Have you identified and measured AI risks?*</v>
      </c>
      <c r="C30" s="21" t="s">
        <v>26</v>
      </c>
      <c r="D30" s="373" t="s">
        <v>424</v>
      </c>
      <c r="E30" s="163" t="str">
        <f>IF($C$18='Auto Responses'!$J$4,'Auto Responses'!$A$6,IF($C30='Auto Responses'!$J$3,VLOOKUP($A30,Questions!$A$2:$X$333,17,0)&amp;"",IF($C30='Auto Responses'!$J$4,VLOOKUP($A30,Questions!$A$2:$X$333,16,0)&amp;"",VLOOKUP($A30,Questions!$A$2:$X$333,15,0)&amp;"")))</f>
        <v>Provide the standard or framework used to identify and measure AI risk.</v>
      </c>
      <c r="F30" s="197" t="str">
        <f>VLOOKUP($A30,'Institution Evaluation'!$A$56:$F$345,6,0)&amp;""</f>
        <v/>
      </c>
      <c r="I30" s="35"/>
      <c r="J30" s="35"/>
    </row>
    <row r="31" spans="1:10" s="1" customFormat="1" ht="121.5" x14ac:dyDescent="0.25">
      <c r="A31" s="19" t="s">
        <v>425</v>
      </c>
      <c r="B31" s="18" t="str">
        <f>VLOOKUP($A31,Questions!$A$2:$X$333,2,0)</f>
        <v>In the event of an incident, can your solution's AI features be disabled in a timely manner?*</v>
      </c>
      <c r="C31" s="21" t="s">
        <v>26</v>
      </c>
      <c r="D31" s="373" t="s">
        <v>426</v>
      </c>
      <c r="E31" s="163" t="str">
        <f>IF($C$18='Auto Responses'!$J$4,'Auto Responses'!$A$6,IF($C31='Auto Responses'!$J$3,VLOOKUP($A31,Questions!$A$2:$X$333,17,0)&amp;"",IF($C31='Auto Responses'!$J$4,VLOOKUP($A31,Questions!$A$2:$X$333,16,0)&amp;"",VLOOKUP($A31,Questions!$A$2:$X$333,15,0)&amp;"")))</f>
        <v>Provide documentation on how to disable AI features. Include a time estimate for the time between disabling the feature and when the feature is inaccessible to users.</v>
      </c>
      <c r="F31" s="197" t="str">
        <f>VLOOKUP($A31,'Institution Evaluation'!$A$56:$F$345,6,0)&amp;""</f>
        <v/>
      </c>
      <c r="I31" s="35"/>
      <c r="J31" s="35"/>
    </row>
    <row r="32" spans="1:10" s="1" customFormat="1" ht="108" x14ac:dyDescent="0.25">
      <c r="A32" s="19" t="s">
        <v>427</v>
      </c>
      <c r="B32" s="18" t="str">
        <f>VLOOKUP($A32,Questions!$A$2:$X$333,2,0)</f>
        <v>If disabled because of an incident, can your solution's AI features be re-enabled in a timely manner?*</v>
      </c>
      <c r="C32" s="21" t="s">
        <v>26</v>
      </c>
      <c r="D32" s="373" t="s">
        <v>428</v>
      </c>
      <c r="E32" s="163" t="str">
        <f>IF($C$18='Auto Responses'!$J$4,'Auto Responses'!$A$6,IF($C$31='Auto Responses'!$J$4,'Auto Responses'!$A$27,IF($C32='Auto Responses'!$J$3,VLOOKUP($A32,Questions!$A$2:$X$333,17,0)&amp;"",IF($C32='Auto Responses'!$J$4,VLOOKUP($A32,Questions!$A$2:$X$333,16,0)&amp;"",IF($C32='Auto Responses'!$J$5,VLOOKUP($A32,Questions!$A$2:$X$333,18,0)&amp;"",VLOOKUP($A32,Questions!$A$2:$X$333,15,0)&amp;"")))))</f>
        <v>Provide documentation on how to enable AI features. Include a time estimate for the time between enabling the feature and when the feature is accessible to users.</v>
      </c>
      <c r="F32" s="197" t="str">
        <f>VLOOKUP($A32,'Institution Evaluation'!$A$56:$F$345,6,0)&amp;""</f>
        <v/>
      </c>
      <c r="I32" s="35"/>
      <c r="J32" s="35"/>
    </row>
    <row r="33" spans="1:10" s="1" customFormat="1" ht="189.5" thickBot="1" x14ac:dyDescent="0.3">
      <c r="A33" s="19" t="s">
        <v>429</v>
      </c>
      <c r="B33" s="18" t="str">
        <f>VLOOKUP($A33,Questions!$A$2:$X$333,2,0)</f>
        <v>Do you have documented technical and procedural processes to address potential negative impacts of AI as described by the AI Risk Management Framework (RMF)?</v>
      </c>
      <c r="C33" s="21" t="s">
        <v>26</v>
      </c>
      <c r="D33" s="309" t="s">
        <v>430</v>
      </c>
      <c r="E33" s="163" t="str">
        <f>IF($C$18='Auto Responses'!$J$4,'Auto Responses'!$A$6,IF($C33='Auto Responses'!$J$3,VLOOKUP($A33,Questions!$A$2:$X$333,17,0)&amp;"",IF($C33='Auto Responses'!$J$4,VLOOKUP($A33,Questions!$A$2:$X$333,16,0)&amp;"",VLOOKUP($A33,Questions!$A$2:$X$333,15,0)&amp;"")))</f>
        <v/>
      </c>
      <c r="F33" s="197" t="str">
        <f>VLOOKUP($A33,'Institution Evaluation'!$A$56:$F$345,6,0)&amp;""</f>
        <v/>
      </c>
      <c r="G33" s="234" t="s">
        <v>36</v>
      </c>
      <c r="I33" s="35"/>
      <c r="J33" s="35"/>
    </row>
    <row r="34" spans="1:10" s="1" customFormat="1" ht="37.5" customHeight="1" thickBot="1" x14ac:dyDescent="0.3">
      <c r="A34" s="63" t="str">
        <f>VLOOKUP(LEFT($A35,4),'Auto Responses'!$N$4:$O$38,2,0)&amp;""</f>
        <v xml:space="preserve"> AI Data Security</v>
      </c>
      <c r="B34" s="22"/>
      <c r="C34" s="13" t="s">
        <v>21</v>
      </c>
      <c r="D34" s="13" t="s">
        <v>22</v>
      </c>
      <c r="E34" s="31" t="s">
        <v>23</v>
      </c>
      <c r="F34" s="198" t="s">
        <v>24</v>
      </c>
      <c r="I34" s="35"/>
      <c r="J34" s="35"/>
    </row>
    <row r="35" spans="1:10" s="1" customFormat="1" ht="121.5" x14ac:dyDescent="0.25">
      <c r="A35" s="19" t="s">
        <v>431</v>
      </c>
      <c r="B35" s="18" t="str">
        <f>VLOOKUP($A35,Questions!$A$2:$X$333,2,0)</f>
        <v>If sensitive data is introduced to your solution's AI model, can the data be removed from the AI model by request?*</v>
      </c>
      <c r="C35" s="21" t="s">
        <v>46</v>
      </c>
      <c r="D35" s="309" t="s">
        <v>432</v>
      </c>
      <c r="E35" s="163" t="str">
        <f>IF($C$18='Auto Responses'!$J$4,'Auto Responses'!$A$6,IF($C$31='Auto Responses'!$J$4,'Auto Responses'!$A$27,IF($C35='Auto Responses'!$J$3,VLOOKUP($A35,Questions!$A$2:$X$333,17,0)&amp;"",IF($C35='Auto Responses'!$J$4,VLOOKUP($A35,Questions!$A$2:$X$333,16,0)&amp;"",IF($C35='Auto Responses'!$J$5,VLOOKUP($A35,Questions!$A$2:$X$333,18,0)&amp;"",VLOOKUP($A35,Questions!$A$2:$X$333,15,0)&amp;"")))))</f>
        <v>If data removal or unlearning is not supported, explain why and describe compensating controls (e.g., filtering, short-term memory, differential privacy). Clarify how sensitive data is managed, and note any future plans to support deletion requests.</v>
      </c>
      <c r="F35" s="197" t="str">
        <f>VLOOKUP($A35,'Institution Evaluation'!$A$56:$F$345,6,0)&amp;""</f>
        <v/>
      </c>
      <c r="I35" s="35"/>
      <c r="J35" s="35"/>
    </row>
    <row r="36" spans="1:10" s="1" customFormat="1" ht="108" x14ac:dyDescent="0.25">
      <c r="A36" s="19" t="s">
        <v>433</v>
      </c>
      <c r="B36" s="18" t="str">
        <f>VLOOKUP($A36,Questions!$A$2:$X$333,2,0)</f>
        <v>Is user input data used to influence your solution's AI model?*</v>
      </c>
      <c r="C36" s="21" t="s">
        <v>46</v>
      </c>
      <c r="D36" s="373" t="s">
        <v>434</v>
      </c>
      <c r="E36" s="163" t="str">
        <f>IF($C$18='Auto Responses'!$J$4,'Auto Responses'!$A$6,IF($C36='Auto Responses'!$J$3,VLOOKUP($A36,Questions!$A$2:$X$333,17,0)&amp;"",IF($C36='Auto Responses'!$J$4,VLOOKUP($A36,Questions!$A$2:$X$333,16,0)&amp;"",VLOOKUP($A36,Questions!$A$2:$X$333,15,0)&amp;"")))</f>
        <v>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v>
      </c>
      <c r="F36" s="197" t="str">
        <f>VLOOKUP($A36,'Institution Evaluation'!$A$56:$F$345,6,0)&amp;""</f>
        <v/>
      </c>
      <c r="I36" s="35"/>
      <c r="J36" s="35"/>
    </row>
    <row r="37" spans="1:10" s="1" customFormat="1" ht="148.5" x14ac:dyDescent="0.25">
      <c r="A37" s="19" t="s">
        <v>435</v>
      </c>
      <c r="B37" s="18" t="str">
        <f>VLOOKUP($A37,Questions!$A$2:$X$333,2,0)</f>
        <v>Do you provide logging for your solution's AI feature(s) that includes user, date, and action taken?*</v>
      </c>
      <c r="C37" s="359" t="s">
        <v>26</v>
      </c>
      <c r="D37" s="360" t="s">
        <v>436</v>
      </c>
      <c r="E37" s="163" t="str">
        <f>IF($C$18='Auto Responses'!$J$4,'Auto Responses'!$A$6,IF($C37='Auto Responses'!$J$3,VLOOKUP($A37,Questions!$A$2:$X$333,17,0)&amp;"",IF($C37='Auto Responses'!$J$4,VLOOKUP($A37,Questions!$A$2:$X$333,16,0)&amp;"",VLOOKUP($A37,Questions!$A$2:$X$333,15,0)&amp;"")))</f>
        <v>Describe what audit logs capture, how long they are retained, whether they are immutable, and how they support audits and oversight.</v>
      </c>
      <c r="F37" s="197" t="str">
        <f>VLOOKUP($A37,'Institution Evaluation'!$A$56:$F$345,6,0)&amp;""</f>
        <v/>
      </c>
      <c r="I37" s="35"/>
      <c r="J37" s="35"/>
    </row>
    <row r="38" spans="1:10" s="1" customFormat="1" ht="324" x14ac:dyDescent="0.25">
      <c r="A38" s="19" t="s">
        <v>437</v>
      </c>
      <c r="B38" s="18" t="str">
        <f>VLOOKUP($A38,Questions!$A$2:$X$333,2,0)</f>
        <v>Please describe how you validate user inputs.</v>
      </c>
      <c r="C38" s="21"/>
      <c r="D38" s="374" t="s">
        <v>438</v>
      </c>
      <c r="E38" s="163" t="str">
        <f>IF($C$18='Auto Responses'!$J$4,'Auto Responses'!$A$6,IF($D38='Auto Responses'!$J$3,VLOOKUP($A38,Questions!$A$2:$X$333,17,0)&amp;"",IF($D38='Auto Responses'!$J$4,VLOOKUP($A38,Questions!$A$2:$X$333,16,0)&amp;"",VLOOKUP($A38,Questions!$A$2:$X$333,15,0)&amp;"")))</f>
        <v>Please describe how your solution validates user inputs, including detection of anomalies, malicious inputs, and sensitive data. Indicate where validation occurs and how it supports security and compliance.</v>
      </c>
      <c r="F38" s="197" t="str">
        <f>VLOOKUP($A38,'Institution Evaluation'!$A$56:$F$345,6,0)&amp;""</f>
        <v/>
      </c>
      <c r="I38" s="35"/>
      <c r="J38" s="35"/>
    </row>
    <row r="39" spans="1:10" s="1" customFormat="1" ht="378.5" thickBot="1" x14ac:dyDescent="0.3">
      <c r="A39" s="19" t="s">
        <v>439</v>
      </c>
      <c r="B39" s="18" t="str">
        <f>VLOOKUP($A39,Questions!$A$2:$X$333,2,0)</f>
        <v>Do you plan for and mitigate supply-chain risk related to your AI features?</v>
      </c>
      <c r="C39" s="21" t="s">
        <v>26</v>
      </c>
      <c r="D39" s="373" t="s">
        <v>2151</v>
      </c>
      <c r="E39" s="163" t="str">
        <f>IF($C$18='Auto Responses'!$J$4,'Auto Responses'!$A$6,IF($C39='Auto Responses'!$J$3,VLOOKUP($A39,Questions!$A$2:$X$333,17,0)&amp;"",IF($C39='Auto Responses'!$J$4,VLOOKUP($A39,Questions!$A$2:$X$333,16,0)&amp;"",VLOOKUP($A39,Questions!$A$2:$X$333,15,0)&amp;"")))</f>
        <v>Describe your use of SAST, SBOM, and monitoring of third-party AI components, and how you address vulnerabilities in line with NIST and state requirements</v>
      </c>
      <c r="F39" s="197" t="str">
        <f>VLOOKUP($A39,'Institution Evaluation'!$A$56:$F$345,6,0)&amp;""</f>
        <v/>
      </c>
      <c r="G39" s="234" t="s">
        <v>36</v>
      </c>
      <c r="I39" s="35"/>
      <c r="J39" s="35"/>
    </row>
    <row r="40" spans="1:10" s="1" customFormat="1" ht="37.5" customHeight="1" thickBot="1" x14ac:dyDescent="0.3">
      <c r="A40" s="63" t="str">
        <f>VLOOKUP(LEFT($A41,4),'Auto Responses'!$N$4:$O$38,2,0)&amp;""</f>
        <v xml:space="preserve"> AI Machine Learning</v>
      </c>
      <c r="B40" s="22"/>
      <c r="C40" s="13" t="s">
        <v>21</v>
      </c>
      <c r="D40" s="13" t="s">
        <v>22</v>
      </c>
      <c r="E40" s="31" t="s">
        <v>23</v>
      </c>
      <c r="F40" s="198" t="s">
        <v>24</v>
      </c>
      <c r="I40" s="35"/>
      <c r="J40" s="35"/>
    </row>
    <row r="41" spans="1:10" s="1" customFormat="1" ht="94.5" x14ac:dyDescent="0.25">
      <c r="A41" s="19" t="s">
        <v>440</v>
      </c>
      <c r="B41" s="18" t="str">
        <f>VLOOKUP($A41,Questions!$A$2:$X$333,2,0)</f>
        <v>Do you separate ML training data from your ML solution data?*</v>
      </c>
      <c r="C41" s="21" t="s">
        <v>46</v>
      </c>
      <c r="D41" s="309" t="s">
        <v>441</v>
      </c>
      <c r="E41" s="163" t="str">
        <f>IF($C$18='Auto Responses'!$J$4,'Auto Responses'!$A$6,IF($C$20='Auto Responses'!$J$4,'Auto Responses'!$A$10,IF($C41='Auto Responses'!$J$3,VLOOKUP($A41,Questions!$A$2:$X$333,17,0)&amp;"",IF($C41='Auto Responses'!$J$4,VLOOKUP($A41,Questions!$A$2:$X$333,16,0)&amp;"",VLOOKUP($A41,Questions!$A$2:$X$333,15,0)&amp;""))))</f>
        <v>If data separation is not in place, explain why and describe compensating controls to protect institutional data from being used in training. Include whether opt-out options are available or planned.</v>
      </c>
      <c r="F41" s="197" t="str">
        <f>VLOOKUP($A41,'Institution Evaluation'!$A$56:$F$345,6,0)&amp;""</f>
        <v/>
      </c>
      <c r="I41" s="35"/>
      <c r="J41" s="35"/>
    </row>
    <row r="42" spans="1:10" s="1" customFormat="1" ht="148.5" x14ac:dyDescent="0.25">
      <c r="A42" s="19" t="s">
        <v>442</v>
      </c>
      <c r="B42" s="18" t="str">
        <f>VLOOKUP($A42,Questions!$A$2:$X$333,2,0)</f>
        <v>Do you authenticate and verify your ML model's feedback?*</v>
      </c>
      <c r="C42" s="21" t="s">
        <v>26</v>
      </c>
      <c r="D42" s="309" t="s">
        <v>443</v>
      </c>
      <c r="E42" s="163" t="str">
        <f>IF($C$18='Auto Responses'!$J$4,'Auto Responses'!$A$6,IF($C$20='Auto Responses'!$J$4,'Auto Responses'!$A$10,IF($C42='Auto Responses'!$J$3,VLOOKUP($A42,Questions!$A$2:$X$333,17,0)&amp;"",IF($C42='Auto Responses'!$J$4,VLOOKUP($A42,Questions!$A$2:$X$333,16,0)&amp;"",VLOOKUP($A42,Questions!$A$2:$X$333,15,0)&amp;""))))</f>
        <v>Describe the process used to authenticate and verify ML model feedback. Include how you detect and mitigate attempts to introduce model skewing, poisoning, or date/phrase attacks.</v>
      </c>
      <c r="F42" s="197" t="str">
        <f>VLOOKUP($A42,'Institution Evaluation'!$A$56:$F$345,6,0)&amp;""</f>
        <v/>
      </c>
      <c r="I42" s="35"/>
      <c r="J42" s="35"/>
    </row>
    <row r="43" spans="1:10" s="1" customFormat="1" ht="81" x14ac:dyDescent="0.25">
      <c r="A43" s="19" t="s">
        <v>444</v>
      </c>
      <c r="B43" s="18" t="str">
        <f>VLOOKUP($A43,Questions!$A$2:$X$333,2,0)</f>
        <v>Is your ML training data vetted, validated, and verified before training the solution's AI model?</v>
      </c>
      <c r="C43" s="21" t="s">
        <v>46</v>
      </c>
      <c r="D43" s="309" t="s">
        <v>445</v>
      </c>
      <c r="E43" s="163" t="str">
        <f>IF($C$18='Auto Responses'!$J$4,'Auto Responses'!$A$6,IF($C$20='Auto Responses'!$J$4,'Auto Responses'!$A$10,IF($C43='Auto Responses'!$J$3,VLOOKUP($A43,Questions!$A$2:$X$333,17,0)&amp;"",IF($C43='Auto Responses'!$J$4,VLOOKUP($A43,Questions!$A$2:$X$333,16,0)&amp;"",VLOOKUP($A43,Questions!$A$2:$X$333,15,0)&amp;""))))</f>
        <v>Explain why the data is not vetted, validated, or verified. Include any future plans to implement this process, and describe any current controls that serve as substitutes for formal vetting and validation.</v>
      </c>
      <c r="F43" s="197" t="str">
        <f>VLOOKUP($A43,'Institution Evaluation'!$A$56:$F$345,6,0)&amp;""</f>
        <v/>
      </c>
      <c r="I43" s="35"/>
      <c r="J43" s="35"/>
    </row>
    <row r="44" spans="1:10" s="1" customFormat="1" ht="67.5" x14ac:dyDescent="0.25">
      <c r="A44" s="19" t="s">
        <v>446</v>
      </c>
      <c r="B44" s="18" t="str">
        <f>VLOOKUP($A44,Questions!$A$2:$X$333,2,0)</f>
        <v>Is your ML training data monitored and audited?</v>
      </c>
      <c r="C44" s="21" t="s">
        <v>46</v>
      </c>
      <c r="D44" s="309" t="s">
        <v>447</v>
      </c>
      <c r="E44" s="163" t="str">
        <f>IF($C$18='Auto Responses'!$J$4,'Auto Responses'!$A$6,IF($C$20='Auto Responses'!$J$4,'Auto Responses'!$A$10,IF($C44='Auto Responses'!$J$3,VLOOKUP($A44,Questions!$A$2:$X$333,17,0)&amp;"",IF($C44='Auto Responses'!$J$4,VLOOKUP($A44,Questions!$A$2:$X$333,16,0)&amp;"",VLOOKUP($A44,Questions!$A$2:$X$333,15,0)&amp;""))))</f>
        <v>Explain why training data is not currently monitored or audited, and describe any alternative safeguards in place or future plans to implement monitoring and auditing.</v>
      </c>
      <c r="F44" s="197" t="str">
        <f>VLOOKUP($A44,'Institution Evaluation'!$A$56:$F$345,6,0)&amp;""</f>
        <v/>
      </c>
      <c r="I44" s="35"/>
      <c r="J44" s="35"/>
    </row>
    <row r="45" spans="1:10" s="1" customFormat="1" ht="67.5" x14ac:dyDescent="0.25">
      <c r="A45" s="19" t="s">
        <v>448</v>
      </c>
      <c r="B45" s="18" t="str">
        <f>VLOOKUP($A45,Questions!$A$2:$X$333,2,0)</f>
        <v>Have you limited access to your ML training data to only staff with an explicit business need?</v>
      </c>
      <c r="C45" s="21" t="s">
        <v>46</v>
      </c>
      <c r="D45" s="309" t="s">
        <v>449</v>
      </c>
      <c r="E45" s="163" t="str">
        <f>IF($C$18='Auto Responses'!$J$4,'Auto Responses'!$A$6,IF($C$20='Auto Responses'!$J$4,'Auto Responses'!$A$10,IF($C45='Auto Responses'!$J$3,VLOOKUP($A45,Questions!$A$2:$X$333,17,0)&amp;"",IF($C45='Auto Responses'!$J$4,VLOOKUP($A45,Questions!$A$2:$X$333,16,0)&amp;"",VLOOKUP($A45,Questions!$A$2:$X$333,15,0)&amp;""))))</f>
        <v>Explain why access to training data is not restricted to staff with an explicit business need. Include any existing policies or controls that currently govern data access.</v>
      </c>
      <c r="F45" s="197" t="str">
        <f>VLOOKUP($A45,'Institution Evaluation'!$A$56:$F$345,6,0)&amp;""</f>
        <v/>
      </c>
      <c r="I45" s="35"/>
      <c r="J45" s="35"/>
    </row>
    <row r="46" spans="1:10" s="1" customFormat="1" ht="148.5" x14ac:dyDescent="0.25">
      <c r="A46" s="19" t="s">
        <v>450</v>
      </c>
      <c r="B46" s="18" t="str">
        <f>VLOOKUP($A46,Questions!$A$2:$X$333,2,0)</f>
        <v>Have you implemented adversarial training or other model defense mechanisms to protect your ML-related features?</v>
      </c>
      <c r="C46" s="21" t="s">
        <v>46</v>
      </c>
      <c r="D46" s="309" t="s">
        <v>451</v>
      </c>
      <c r="E46" s="163" t="str">
        <f>IF($C$18='Auto Responses'!$J$4,'Auto Responses'!$A$6,IF($C$20='Auto Responses'!$J$4,'Auto Responses'!$A$10,IF($C46='Auto Responses'!$J$3,VLOOKUP($A46,Questions!$A$2:$X$333,17,0)&amp;"",IF($C46='Auto Responses'!$J$4,VLOOKUP($A46,Questions!$A$2:$X$333,16,0)&amp;"",VLOOKUP($A46,Questions!$A$2:$X$333,15,0)&amp;""))))</f>
        <v>Explain why training or other defensive mechanisms have not been implemented. Include controls or other policies in place that would substitute.</v>
      </c>
      <c r="F46" s="197" t="str">
        <f>VLOOKUP($A46,'Institution Evaluation'!$A$56:$F$345,6,0)&amp;""</f>
        <v/>
      </c>
      <c r="I46" s="35"/>
      <c r="J46" s="35"/>
    </row>
    <row r="47" spans="1:10" s="1" customFormat="1" ht="67.5" x14ac:dyDescent="0.25">
      <c r="A47" s="19" t="s">
        <v>452</v>
      </c>
      <c r="B47" s="18" t="str">
        <f>VLOOKUP($A47,Questions!$A$2:$X$333,2,0)</f>
        <v>Do you make your ML model transparent through documentation and log inputs and outputs?</v>
      </c>
      <c r="C47" s="21" t="s">
        <v>46</v>
      </c>
      <c r="D47" s="309"/>
      <c r="E47" s="163" t="str">
        <f>IF($C$18='Auto Responses'!$J$4,'Auto Responses'!$A$6,IF($C$20='Auto Responses'!$J$4,'Auto Responses'!$A$10,IF($C47='Auto Responses'!$J$3,VLOOKUP($A47,Questions!$A$2:$X$333,17,0)&amp;"",IF($C47='Auto Responses'!$J$4,VLOOKUP($A47,Questions!$A$2:$X$333,16,0)&amp;"",VLOOKUP($A47,Questions!$A$2:$X$333,15,0)&amp;""))))</f>
        <v>Explain why the model is not documented, does not log inputs/outputs, or lacks explainability features, and describe any compensating controls or future plans to increase transparency.</v>
      </c>
      <c r="F47" s="197" t="str">
        <f>VLOOKUP($A47,'Institution Evaluation'!$A$56:$F$345,6,0)&amp;""</f>
        <v/>
      </c>
      <c r="I47" s="35"/>
      <c r="J47" s="35"/>
    </row>
    <row r="48" spans="1:10" s="1" customFormat="1" ht="54.5" thickBot="1" x14ac:dyDescent="0.3">
      <c r="A48" s="19" t="s">
        <v>453</v>
      </c>
      <c r="B48" s="18" t="str">
        <f>VLOOKUP($A48,Questions!$A$2:$X$333,2,0)</f>
        <v>Do you watermark your ML training data?</v>
      </c>
      <c r="C48" s="21" t="s">
        <v>46</v>
      </c>
      <c r="D48" s="309" t="s">
        <v>454</v>
      </c>
      <c r="E48" s="163" t="str">
        <f>IF($C$18='Auto Responses'!$J$4,'Auto Responses'!$A$6,IF($C$20='Auto Responses'!$J$4,'Auto Responses'!$A$10,IF($C48='Auto Responses'!$J$3,VLOOKUP($A48,Questions!$A$2:$X$333,17,0)&amp;"",IF($C48='Auto Responses'!$J$4,VLOOKUP($A48,Questions!$A$2:$X$333,16,0)&amp;"",VLOOKUP($A48,Questions!$A$2:$X$333,15,0)&amp;""))))</f>
        <v>Explain why training data is not watermarked and any compensating controls or future plans.</v>
      </c>
      <c r="F48" s="197" t="str">
        <f>VLOOKUP($A48,'Institution Evaluation'!$A$56:$F$345,6,0)&amp;""</f>
        <v/>
      </c>
      <c r="G48" s="234" t="s">
        <v>36</v>
      </c>
      <c r="I48" s="35"/>
      <c r="J48" s="35"/>
    </row>
    <row r="49" spans="1:12" s="1" customFormat="1" ht="37.5" customHeight="1" thickBot="1" x14ac:dyDescent="0.3">
      <c r="A49" s="63" t="str">
        <f>VLOOKUP(LEFT($A50,4),'Auto Responses'!$N$4:$O$38,2,0)&amp;""</f>
        <v xml:space="preserve"> AI Large Language Model (LLM)</v>
      </c>
      <c r="B49" s="22"/>
      <c r="C49" s="13" t="s">
        <v>21</v>
      </c>
      <c r="D49" s="13" t="s">
        <v>22</v>
      </c>
      <c r="E49" s="31" t="s">
        <v>23</v>
      </c>
      <c r="F49" s="198" t="s">
        <v>24</v>
      </c>
      <c r="I49" s="35"/>
      <c r="J49" s="35"/>
    </row>
    <row r="50" spans="1:12" s="1" customFormat="1" ht="40.5" x14ac:dyDescent="0.25">
      <c r="A50" s="19" t="s">
        <v>455</v>
      </c>
      <c r="B50" s="18" t="str">
        <f>VLOOKUP($A50,Questions!$A$2:$X$333,2,0)</f>
        <v>Do you limit your solution's LLM privileges by default?*</v>
      </c>
      <c r="C50" s="21" t="s">
        <v>46</v>
      </c>
      <c r="D50" s="309" t="s">
        <v>456</v>
      </c>
      <c r="E50" s="163" t="str">
        <f>IF($C$18='Auto Responses'!$J$4,'Auto Responses'!$A$6,IF($C$21='Auto Responses'!$J$4,'Auto Responses'!$A$11,IF($C50='Auto Responses'!$J$3,VLOOKUP($A50,Questions!$A$2:$X$333,17,0)&amp;"",IF($C50='Auto Responses'!$J$4,VLOOKUP($A50,Questions!$A$2:$X$333,16,0)&amp;"",VLOOKUP($A50,Questions!$A$2:$X$333,15,0)&amp;""))))</f>
        <v>Based on the response to AIQU-02, this question does not apply to this product or service.</v>
      </c>
      <c r="F50" s="197" t="str">
        <f>VLOOKUP($A50,'Institution Evaluation'!$A$56:$F$345,6,0)&amp;""</f>
        <v/>
      </c>
      <c r="I50" s="35"/>
      <c r="J50" s="35"/>
    </row>
    <row r="51" spans="1:12" s="1" customFormat="1" ht="40.5" x14ac:dyDescent="0.25">
      <c r="A51" s="19" t="s">
        <v>457</v>
      </c>
      <c r="B51" s="18" t="str">
        <f>VLOOKUP($A51,Questions!$A$2:$X$333,2,0)</f>
        <v>Is your LLM training data vetted, validated, and verified before training the solution's AI model?*</v>
      </c>
      <c r="C51" s="21" t="s">
        <v>46</v>
      </c>
      <c r="D51" s="309" t="s">
        <v>456</v>
      </c>
      <c r="E51" s="163" t="str">
        <f>IF($C$18='Auto Responses'!$J$4,'Auto Responses'!$A$6,IF($C$21='Auto Responses'!$J$4,'Auto Responses'!$A$11,IF($C51='Auto Responses'!$J$3,VLOOKUP($A51,Questions!$A$2:$X$333,17,0)&amp;"",IF($C51='Auto Responses'!$J$4,VLOOKUP($A51,Questions!$A$2:$X$333,16,0)&amp;"",VLOOKUP($A51,Questions!$A$2:$X$333,15,0)&amp;""))))</f>
        <v>Based on the response to AIQU-02, this question does not apply to this product or service.</v>
      </c>
      <c r="F51" s="197" t="str">
        <f>VLOOKUP($A51,'Institution Evaluation'!$A$56:$F$345,6,0)&amp;""</f>
        <v/>
      </c>
      <c r="I51" s="35"/>
      <c r="J51" s="35"/>
    </row>
    <row r="52" spans="1:12" s="1" customFormat="1" ht="40.5" x14ac:dyDescent="0.25">
      <c r="A52" s="19" t="s">
        <v>458</v>
      </c>
      <c r="B52" s="18" t="str">
        <f>VLOOKUP($A52,Questions!$A$2:$X$333,2,0)</f>
        <v>Do any actions taken by your solution's LLM features or plugins require human intervention?*</v>
      </c>
      <c r="C52" s="21" t="s">
        <v>46</v>
      </c>
      <c r="D52" s="309" t="s">
        <v>456</v>
      </c>
      <c r="E52" s="163" t="str">
        <f>IF($C$18='Auto Responses'!$J$4,'Auto Responses'!$A$6,IF($C$21='Auto Responses'!$J$4,'Auto Responses'!$A$11,IF($C52='Auto Responses'!$J$3,VLOOKUP($A52,Questions!$A$2:$X$333,17,0)&amp;"",IF($C52='Auto Responses'!$J$4,VLOOKUP($A52,Questions!$A$2:$X$333,16,0)&amp;"",VLOOKUP($A52,Questions!$A$2:$X$333,15,0)&amp;""))))</f>
        <v>Based on the response to AIQU-02, this question does not apply to this product or service.</v>
      </c>
      <c r="F52" s="197" t="str">
        <f>VLOOKUP($A52,'Institution Evaluation'!$A$56:$F$345,6,0)&amp;""</f>
        <v/>
      </c>
      <c r="I52" s="35"/>
      <c r="J52" s="35"/>
    </row>
    <row r="53" spans="1:12" s="1" customFormat="1" ht="40.5" x14ac:dyDescent="0.25">
      <c r="A53" s="19" t="s">
        <v>459</v>
      </c>
      <c r="B53" s="18" t="str">
        <f>VLOOKUP($A53,Questions!$A$2:$X$333,2,0)</f>
        <v>Do you limit multiple LLM model plugins being called as part of a single input?*</v>
      </c>
      <c r="C53" s="21" t="s">
        <v>46</v>
      </c>
      <c r="D53" s="309" t="s">
        <v>456</v>
      </c>
      <c r="E53" s="163" t="str">
        <f>IF($C$18='Auto Responses'!$J$4,'Auto Responses'!$A$6,IF($C$21='Auto Responses'!$J$4,'Auto Responses'!$A$11,IF($C53='Auto Responses'!$J$3,VLOOKUP($A53,Questions!$A$2:$X$333,17,0)&amp;"",IF($C53='Auto Responses'!$J$4,VLOOKUP($A53,Questions!$A$2:$X$333,16,0)&amp;"",VLOOKUP($A53,Questions!$A$2:$X$333,15,0)&amp;""))))</f>
        <v>Based on the response to AIQU-02, this question does not apply to this product or service.</v>
      </c>
      <c r="F53" s="197" t="str">
        <f>VLOOKUP($A53,'Institution Evaluation'!$A$56:$F$345,6,0)&amp;""</f>
        <v/>
      </c>
      <c r="I53" s="35"/>
      <c r="J53" s="35"/>
    </row>
    <row r="54" spans="1:12" s="1" customFormat="1" ht="40.5" x14ac:dyDescent="0.25">
      <c r="A54" s="19" t="s">
        <v>460</v>
      </c>
      <c r="B54" s="18" t="str">
        <f>VLOOKUP($A54,Questions!$A$2:$X$333,2,0)</f>
        <v>Do you limit your solution's LLM resource use per request, per step, and per action?</v>
      </c>
      <c r="C54" s="21" t="s">
        <v>46</v>
      </c>
      <c r="D54" s="309" t="s">
        <v>456</v>
      </c>
      <c r="E54" s="163" t="str">
        <f>IF($C$18='Auto Responses'!$J$4,'Auto Responses'!$A$6,IF($C$21='Auto Responses'!$J$4,'Auto Responses'!$A$11,IF($C54='Auto Responses'!$J$3,VLOOKUP($A54,Questions!$A$2:$X$333,17,0)&amp;"",IF($C54='Auto Responses'!$J$4,VLOOKUP($A54,Questions!$A$2:$X$333,16,0)&amp;"",VLOOKUP($A54,Questions!$A$2:$X$333,15,0)&amp;""))))</f>
        <v>Based on the response to AIQU-02, this question does not apply to this product or service.</v>
      </c>
      <c r="F54" s="197" t="str">
        <f>VLOOKUP($A54,'Institution Evaluation'!$A$56:$F$345,6,0)&amp;""</f>
        <v/>
      </c>
      <c r="I54" s="35"/>
      <c r="J54" s="35"/>
    </row>
    <row r="55" spans="1:12" s="1" customFormat="1" ht="40.5" x14ac:dyDescent="0.25">
      <c r="A55" s="19" t="s">
        <v>461</v>
      </c>
      <c r="B55" s="18" t="str">
        <f>VLOOKUP($A55,Questions!$A$2:$X$333,2,0)</f>
        <v>Do you leverage LLM model tuning or other model validation mechanisms?</v>
      </c>
      <c r="C55" s="21" t="s">
        <v>46</v>
      </c>
      <c r="D55" s="309" t="s">
        <v>456</v>
      </c>
      <c r="E55" s="163" t="str">
        <f>IF($C$18='Auto Responses'!$J$4,'Auto Responses'!$A$6,IF($C$21='Auto Responses'!$J$4,'Auto Responses'!$A$11,IF($C55='Auto Responses'!$J$3,VLOOKUP($A55,Questions!$A$2:$X$333,17,0)&amp;"",IF($C55='Auto Responses'!$J$4,VLOOKUP($A55,Questions!$A$2:$X$333,16,0)&amp;"",VLOOKUP($A55,Questions!$A$2:$X$333,15,0)&amp;""))))</f>
        <v>Based on the response to AIQU-02, this question does not apply to this product or service.</v>
      </c>
      <c r="F55" s="197" t="str">
        <f>VLOOKUP($A55,'Institution Evaluation'!$A$56:$F$345,6,0)&amp;""</f>
        <v/>
      </c>
      <c r="G55" s="234" t="s">
        <v>36</v>
      </c>
      <c r="I55" s="35"/>
      <c r="J55" s="35"/>
    </row>
    <row r="56" spans="1:12" s="1" customFormat="1" ht="33" customHeight="1" x14ac:dyDescent="0.25">
      <c r="A56" s="263" t="s">
        <v>54</v>
      </c>
      <c r="C56" s="8"/>
      <c r="D56" s="9"/>
      <c r="E56" s="235" t="s">
        <v>462</v>
      </c>
      <c r="F56" s="195"/>
      <c r="G56" s="195"/>
      <c r="I56" s="35"/>
      <c r="J56" s="35"/>
    </row>
    <row r="57" spans="1:12" s="1" customFormat="1" ht="15" hidden="1" customHeight="1" x14ac:dyDescent="0.25">
      <c r="A57"/>
      <c r="C57" s="8"/>
      <c r="D57" s="9"/>
      <c r="E57" s="10"/>
      <c r="F57" s="195"/>
      <c r="G57" s="195"/>
      <c r="I57" s="35"/>
      <c r="J57" s="35"/>
    </row>
    <row r="58" spans="1:12" ht="15" hidden="1" customHeight="1" x14ac:dyDescent="0.25">
      <c r="A58" s="1"/>
      <c r="B58" s="8"/>
      <c r="C58" s="71"/>
      <c r="D58" s="10"/>
      <c r="E58" s="1"/>
      <c r="F58" s="195"/>
      <c r="G58" s="195"/>
      <c r="H58" s="35"/>
      <c r="I58" s="1"/>
      <c r="J58" s="1"/>
      <c r="L58"/>
    </row>
    <row r="59" spans="1:12" ht="0" hidden="1" customHeight="1" x14ac:dyDescent="0.25">
      <c r="A59" s="19" t="e">
        <f>#REF!</f>
        <v>#REF!</v>
      </c>
    </row>
    <row r="60" spans="1:12" ht="0" hidden="1" customHeight="1" x14ac:dyDescent="0.25">
      <c r="A60" s="19" t="e">
        <f>#REF!</f>
        <v>#REF!</v>
      </c>
    </row>
    <row r="61" spans="1:12" ht="0" hidden="1" customHeight="1" x14ac:dyDescent="0.25">
      <c r="A61" s="19" t="e">
        <f>#REF!</f>
        <v>#REF!</v>
      </c>
    </row>
    <row r="62" spans="1:12" ht="0" hidden="1" customHeight="1" x14ac:dyDescent="0.25">
      <c r="A62" s="19" t="e">
        <f>#REF!</f>
        <v>#REF!</v>
      </c>
    </row>
    <row r="63" spans="1:12" ht="0" hidden="1" customHeight="1" x14ac:dyDescent="0.25">
      <c r="A63" s="19" t="e">
        <f>#REF!</f>
        <v>#REF!</v>
      </c>
    </row>
    <row r="64" spans="1:12" ht="0" hidden="1" customHeight="1" x14ac:dyDescent="0.25">
      <c r="A64" s="19" t="e">
        <f>#REF!</f>
        <v>#REF!</v>
      </c>
    </row>
    <row r="65" spans="1:1" ht="0" hidden="1" customHeight="1" x14ac:dyDescent="0.25">
      <c r="A65" s="19" t="e">
        <f>#REF!</f>
        <v>#REF!</v>
      </c>
    </row>
    <row r="1048576" ht="3" customHeight="1" x14ac:dyDescent="0.25"/>
  </sheetData>
  <dataValidations count="2">
    <dataValidation allowBlank="1" showInputMessage="1" showErrorMessage="1" promptTitle="Warning!" prompt="The HECVAT is built using a number of complex formulas. Editing this cell can break the functionality of the tool. " sqref="C2 A3:A56 C17:D17 C19:D19 E17:F55 C5:F12 D2:F3 B2:B56 C22:D22 C28:D28 C34:D34 C40:D40 C49:D49" xr:uid="{D957C704-29A7-4E2E-96F4-55C2ABCFEFBB}"/>
    <dataValidation allowBlank="1" showInputMessage="1" showErrorMessage="1" prompt="This answer has been populated from the &quot;START HERE&quot; tab and does not need to be re-entered." sqref="C3 C13:C16 C18" xr:uid="{30BA73FE-03A4-4CD8-A769-22A8872A9584}"/>
  </dataValidations>
  <hyperlinks>
    <hyperlink ref="A11" r:id="rId1" display="http://www.educause.edu/HECVAT" xr:uid="{602CAADE-C9DE-4C08-8CEB-79EAE89E27C8}"/>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E807CE64-50A3-451A-8C43-A77901C13944}">
          <x14:formula1>
            <xm:f>'Auto Responses'!$J$3:$J$4</xm:f>
          </x14:formula1>
          <xm:sqref>C20:C21 C41:C48 C27 C36:C37 C25 C39 C50:C55 C23 C29:C31 C33</xm:sqref>
        </x14:dataValidation>
        <x14:dataValidation type="list" allowBlank="1" showInputMessage="1" showErrorMessage="1" xr:uid="{C32B3913-2C19-447B-8AE2-A94FD3140428}">
          <x14:formula1>
            <xm:f>'Auto Responses'!$J$3:$J$5</xm:f>
          </x14:formula1>
          <xm:sqref>C24 C32 C35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C015A-7AE4-42CD-8DE9-8BFE5E1E3214}">
  <sheetPr>
    <tabColor rgb="FF00636C"/>
  </sheetPr>
  <dimension ref="A1:K117"/>
  <sheetViews>
    <sheetView showGridLines="0" showZeros="0" topLeftCell="A46" zoomScale="150" zoomScaleNormal="73" workbookViewId="0">
      <selection activeCell="D49" sqref="D49"/>
    </sheetView>
  </sheetViews>
  <sheetFormatPr defaultColWidth="0" defaultRowHeight="0" customHeight="1" zeroHeight="1" x14ac:dyDescent="0.25"/>
  <cols>
    <col min="1" max="1" width="8.265625" customWidth="1"/>
    <col min="2" max="2" width="55.1328125" style="1" customWidth="1"/>
    <col min="3" max="3" width="18.86328125" style="8" customWidth="1"/>
    <col min="4" max="4" width="55.59765625" style="9" customWidth="1"/>
    <col min="5" max="5" width="32" style="40" customWidth="1"/>
    <col min="6" max="6" width="30.59765625" style="192" customWidth="1"/>
    <col min="7" max="7" width="18.1328125" style="1" customWidth="1"/>
    <col min="8" max="8" width="18.1328125" style="35" hidden="1" customWidth="1"/>
    <col min="9" max="10" width="18.1328125" style="1" hidden="1" customWidth="1"/>
    <col min="11" max="11" width="6.59765625" style="1" hidden="1" customWidth="1"/>
    <col min="12" max="16384" width="6.59765625" hidden="1"/>
  </cols>
  <sheetData>
    <row r="1" spans="1:9" ht="0" hidden="1" customHeight="1" x14ac:dyDescent="0.25">
      <c r="A1" t="s">
        <v>0</v>
      </c>
    </row>
    <row r="2" spans="1:9" ht="36" customHeight="1" x14ac:dyDescent="0.25">
      <c r="A2" s="164" t="s">
        <v>463</v>
      </c>
      <c r="B2" s="164"/>
      <c r="C2" s="165"/>
      <c r="D2" s="304"/>
      <c r="E2" s="166"/>
      <c r="F2" s="193" t="str">
        <f>'Auto Responses'!$A$36</f>
        <v>Version 4.1.5</v>
      </c>
    </row>
    <row r="3" spans="1:9" s="1" customFormat="1" ht="29.25" customHeight="1" x14ac:dyDescent="0.25">
      <c r="A3" s="37" t="s">
        <v>2</v>
      </c>
      <c r="B3" s="78"/>
      <c r="C3" s="66">
        <f>'START HERE'!$C$3</f>
        <v>46255</v>
      </c>
      <c r="D3" s="305"/>
      <c r="E3" s="36"/>
      <c r="F3" s="50"/>
      <c r="H3" s="35"/>
    </row>
    <row r="4" spans="1:9" s="1" customFormat="1" ht="36" customHeight="1" x14ac:dyDescent="0.25">
      <c r="A4" s="11" t="s">
        <v>3</v>
      </c>
      <c r="B4" s="12"/>
      <c r="C4" s="13"/>
      <c r="D4" s="14"/>
      <c r="E4" s="15"/>
      <c r="F4" s="15"/>
      <c r="H4" s="35"/>
    </row>
    <row r="5" spans="1:9"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6"/>
      <c r="E5" s="16"/>
      <c r="F5" s="257"/>
      <c r="I5" s="35"/>
    </row>
    <row r="6" spans="1:9"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6"/>
      <c r="E6" s="16"/>
      <c r="F6" s="258"/>
      <c r="I6" s="35"/>
    </row>
    <row r="7" spans="1:9"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6"/>
      <c r="E7" s="16"/>
      <c r="F7" s="258"/>
      <c r="I7" s="35"/>
    </row>
    <row r="8" spans="1:9" s="1" customFormat="1" ht="19.5" customHeight="1" x14ac:dyDescent="0.25">
      <c r="A8" s="42" t="str">
        <f>HLOOKUP($A$4,'Auto Responses'!$D$2:$D$8,5,0)&amp;""</f>
        <v>4. DO NOT complete any fields in the "Evaluation" sheets or the "Analyst Notes" column.</v>
      </c>
      <c r="B8" s="16"/>
      <c r="C8" s="67"/>
      <c r="D8" s="306"/>
      <c r="E8" s="16"/>
      <c r="F8" s="258"/>
      <c r="I8" s="35"/>
    </row>
    <row r="9" spans="1:9" s="1" customFormat="1" ht="19.5" customHeight="1" x14ac:dyDescent="0.25">
      <c r="A9" s="42" t="str">
        <f>HLOOKUP($A$4,'Auto Responses'!$D$2:$D$8,6,0)&amp;""</f>
        <v>5. Return the completed file to institutions.</v>
      </c>
      <c r="B9" s="16"/>
      <c r="C9" s="67"/>
      <c r="D9" s="306"/>
      <c r="E9" s="16"/>
      <c r="F9" s="258"/>
      <c r="I9" s="35"/>
    </row>
    <row r="10" spans="1:9" s="1" customFormat="1" ht="19.5" customHeight="1" x14ac:dyDescent="0.25">
      <c r="A10" s="243" t="str">
        <f>HLOOKUP($A$4,'Auto Responses'!$D$2:$D$8,7,0)&amp;""</f>
        <v>* Denotes critical questions. Critical questions are those deemed most important to institutions by higher education volunteers.</v>
      </c>
      <c r="B10" s="16"/>
      <c r="C10" s="67"/>
      <c r="D10" s="306"/>
      <c r="E10" s="16"/>
      <c r="F10" s="258"/>
      <c r="I10" s="35"/>
    </row>
    <row r="11" spans="1:9" s="1" customFormat="1" ht="19.5" customHeight="1" x14ac:dyDescent="0.25">
      <c r="A11" s="242" t="str">
        <f>HLOOKUP($A$4,'Auto Responses'!$D$2:$D$9,8,0)&amp;""</f>
        <v>For full instructions, please visit educause.edu/HECVAT</v>
      </c>
      <c r="B11" s="16"/>
      <c r="C11" s="67"/>
      <c r="D11" s="306"/>
      <c r="E11" s="16"/>
      <c r="F11" s="259"/>
      <c r="I11" s="35"/>
    </row>
    <row r="12" spans="1:9" s="1" customFormat="1" ht="36" customHeight="1" x14ac:dyDescent="0.25">
      <c r="A12" s="63" t="str">
        <f>VLOOKUP(LEFT($A13,4),'Auto Responses'!$N$4:$O$38,2,0)&amp;""</f>
        <v xml:space="preserve"> General Information</v>
      </c>
      <c r="B12" s="12"/>
      <c r="C12" s="13" t="s">
        <v>21</v>
      </c>
      <c r="D12" s="323"/>
      <c r="E12" s="80"/>
      <c r="F12" s="80"/>
      <c r="H12" s="35"/>
    </row>
    <row r="13" spans="1:9" s="1" customFormat="1" ht="22.5" customHeight="1" x14ac:dyDescent="0.25">
      <c r="A13" s="19" t="s">
        <v>4</v>
      </c>
      <c r="B13" s="79" t="str">
        <f>VLOOKUP($A13,Questions!$A$2:$X$333,2,0)&amp;""</f>
        <v>Solution Provider Name</v>
      </c>
      <c r="C13" s="76" t="str">
        <f>VLOOKUP($A13,'START HERE'!$A$13:$C$21,3,0)&amp;""</f>
        <v>Preservica Inc</v>
      </c>
      <c r="D13" s="305"/>
      <c r="E13" s="36"/>
      <c r="F13" s="50"/>
      <c r="H13" s="35"/>
    </row>
    <row r="14" spans="1:9" s="1" customFormat="1" ht="22.5" customHeight="1" x14ac:dyDescent="0.25">
      <c r="A14" s="19" t="s">
        <v>6</v>
      </c>
      <c r="B14" s="79" t="str">
        <f>VLOOKUP($A14,Questions!$A$2:$X$333,2,0)&amp;""</f>
        <v>Solution Name</v>
      </c>
      <c r="C14" s="76" t="str">
        <f>VLOOKUP($A14,'START HERE'!$A$13:$C$21,3,0)&amp;""</f>
        <v>Preservica Pro, Preservica Pro Plus, Preservica Enterprise, Preservica Enterprise Plus - v9.x</v>
      </c>
      <c r="D14" s="305"/>
      <c r="E14" s="36"/>
      <c r="F14" s="50"/>
      <c r="H14" s="35"/>
    </row>
    <row r="15" spans="1:9" s="1" customFormat="1" ht="22.5" customHeight="1" x14ac:dyDescent="0.25">
      <c r="A15" s="19" t="s">
        <v>8</v>
      </c>
      <c r="B15" s="79" t="str">
        <f>VLOOKUP($A15,Questions!$A$2:$X$333,2,0)&amp;""</f>
        <v>Solution Description</v>
      </c>
      <c r="C15" s="76" t="str">
        <f>VLOOKUP($A15,'START HERE'!$A$13:$C$21,3,0)&amp;""</f>
        <v>Preservica combines all the core requirements for successful long-term active digital preservation – including public and secure access - into a single integrated application that can be quickly deployed and hosted in the cloud.</v>
      </c>
      <c r="D15" s="305"/>
      <c r="E15" s="36"/>
      <c r="F15" s="50"/>
      <c r="H15" s="35"/>
    </row>
    <row r="16" spans="1:9" s="1" customFormat="1" ht="22.5" customHeight="1" x14ac:dyDescent="0.25">
      <c r="A16" s="19" t="s">
        <v>17</v>
      </c>
      <c r="B16" s="79" t="str">
        <f>VLOOKUP($A16,Questions!$A$2:$X$333,2,0)&amp;""</f>
        <v>Country of Company Headquarters</v>
      </c>
      <c r="C16" s="76" t="str">
        <f>VLOOKUP($A16,'START HERE'!$A$13:$C$21,3,0)&amp;""</f>
        <v>UK</v>
      </c>
      <c r="D16" s="305"/>
      <c r="E16" s="36"/>
      <c r="F16" s="50"/>
      <c r="H16" s="35"/>
    </row>
    <row r="17" spans="1:8" s="1" customFormat="1" ht="22.5" customHeight="1" x14ac:dyDescent="0.25">
      <c r="A17" s="19" t="s">
        <v>19</v>
      </c>
      <c r="B17" s="79" t="str">
        <f>VLOOKUP($A17,Questions!$A$2:$X$333,2,0)&amp;""</f>
        <v>Employee Work Locations (all)</v>
      </c>
      <c r="C17" s="76" t="str">
        <f>VLOOKUP($A17,'START HERE'!$A$13:$C$21,3,0)&amp;""</f>
        <v>USA, UK</v>
      </c>
      <c r="D17" s="305"/>
      <c r="E17" s="36"/>
      <c r="F17" s="50"/>
      <c r="H17" s="35"/>
    </row>
    <row r="18" spans="1:8" s="1" customFormat="1" ht="37.5" customHeight="1" thickBot="1" x14ac:dyDescent="0.3">
      <c r="A18" s="63" t="str">
        <f>VLOOKUP(LEFT($A19,4),'Auto Responses'!$N$4:$O$38,2,0)&amp;""</f>
        <v xml:space="preserve"> Required Questions</v>
      </c>
      <c r="B18" s="22"/>
      <c r="C18" s="13" t="s">
        <v>21</v>
      </c>
      <c r="D18" s="13" t="s">
        <v>22</v>
      </c>
      <c r="E18" s="31" t="s">
        <v>23</v>
      </c>
      <c r="F18" s="199" t="s">
        <v>24</v>
      </c>
      <c r="H18" s="35"/>
    </row>
    <row r="19" spans="1:8" s="1" customFormat="1" ht="111" customHeight="1" x14ac:dyDescent="0.25">
      <c r="A19" s="19" t="s">
        <v>43</v>
      </c>
      <c r="B19" s="18" t="str">
        <f>VLOOKUP($A19,Questions!$A$2:$X$333,2,0)</f>
        <v>Does your solution have AI features, or are there plans to implement AI features in the next 12 months?</v>
      </c>
      <c r="C19" s="72" t="str">
        <f>VLOOKUP($A19,'START HERE'!$A$23:$F$36,3,0)&amp;""</f>
        <v>Yes</v>
      </c>
      <c r="D19" s="308" t="str">
        <f>VLOOKUP($A19,'START HERE'!$A$23:$F$36,4,0)&amp;""</f>
        <v>Preservica offers opt-in AI capabilities for archival workflows, including OCR, PII identification, image description, audio and video transcription, and metadata quality checks. No AI processing occurs by default — features must be explicitly enabled by the customer, and outputs are presented for human review rather than acted on autonomously. The specific features available depend on product edition and configuration.</v>
      </c>
      <c r="E19" s="163" t="str">
        <f>IF($C19='Auto Responses'!$J$3,VLOOKUP($A19,Questions!$A$2:$X$333,17,0)&amp;"",IF($C19='Auto Responses'!$J$4,VLOOKUP($A19,Questions!$A$2:$X$333,16,0)&amp;"",VLOOKUP($A19,Questions!$A$2:$X$333,15,0)&amp;""))</f>
        <v>DO complete the Artificial Intelligence (AI) worksheet</v>
      </c>
      <c r="F19" s="200" t="str">
        <f>VLOOKUP($A19,'START HERE'!$A$23:$F$36,6,0)&amp;""</f>
        <v/>
      </c>
      <c r="H19" s="35"/>
    </row>
    <row r="20" spans="1:8" s="1" customFormat="1" ht="64.5" customHeight="1" x14ac:dyDescent="0.25">
      <c r="A20" s="19" t="s">
        <v>45</v>
      </c>
      <c r="B20" s="18" t="str">
        <f>VLOOKUP($A20,Questions!$A$2:$X$333,2,0)</f>
        <v>Does your solution process protected health information (PHI) or any data covered by the Health Insurance Portability and Accountability Act (HIPAA)?</v>
      </c>
      <c r="C20" s="72" t="str">
        <f>VLOOKUP($A20,'START HERE'!$A$23:$F$36,3,0)&amp;""</f>
        <v>No</v>
      </c>
      <c r="D20" s="308" t="str">
        <f>VLOOKUP($A20,'START HERE'!$A$23:$F$36,4,0)&amp;""</f>
        <v>Preservica is not designed specifically for the processing of protected health information and does not currently offer a Business Associate Agreement. Customers determine what content they ingest and remain responsible for ensuring it is permitted under their own regulatory obligations.</v>
      </c>
      <c r="E20" s="163" t="str">
        <f>IF($C20='Auto Responses'!$J$3,VLOOKUP($A20,Questions!$A$2:$X$333,17,0)&amp;"",IF($C20='Auto Responses'!$J$4,VLOOKUP($A20,Questions!$A$2:$X$333,16,0)&amp;"",VLOOKUP($A20,Questions!$A$2:$X$333,15,0)&amp;""))</f>
        <v>DO NOT complete the HIPAA section in the Case-Specific worksheet</v>
      </c>
      <c r="F20" s="200" t="str">
        <f>VLOOKUP($A20,'START HERE'!$A$23:$F$36,6,0)&amp;""</f>
        <v/>
      </c>
      <c r="H20" s="35"/>
    </row>
    <row r="21" spans="1:8" s="1" customFormat="1" ht="90" customHeight="1" x14ac:dyDescent="0.25">
      <c r="A21" s="19" t="s">
        <v>47</v>
      </c>
      <c r="B21" s="18" t="str">
        <f>VLOOKUP($A21,Questions!$A$2:$X$333,2,0)</f>
        <v>Is the solution designed to process, store, or transmit credit card information?</v>
      </c>
      <c r="C21" s="72" t="str">
        <f>VLOOKUP($A21,'START HERE'!$A$23:$F$36,3,0)&amp;""</f>
        <v>No</v>
      </c>
      <c r="D21" s="308" t="str">
        <f>VLOOKUP($A21,'START HERE'!$A$23:$F$36,4,0)&amp;""</f>
        <v>The solution is not designed to process, store or transmit credit card information, and Preservica's service is not PCI-DSS compliant, as there is not normally a case for digital preservation of Cardholder Data as defined in PCI-DSS. Customers should not store any such data within the service.</v>
      </c>
      <c r="E21" s="163" t="str">
        <f>IF($C21='Auto Responses'!$J$3,VLOOKUP($A21,Questions!$A$2:$X$333,17,0)&amp;"",IF($C21='Auto Responses'!$J$4,VLOOKUP($A21,Questions!$A$2:$X$333,16,0)&amp;"",VLOOKUP($A21,Questions!$A$2:$X$333,15,0)&amp;""))</f>
        <v>DO NOT complete the PCI-DSS section in the Case-Specific worksheet</v>
      </c>
      <c r="F21" s="200" t="str">
        <f>VLOOKUP($A21,'START HERE'!$A$23:$F$36,6,0)&amp;""</f>
        <v/>
      </c>
      <c r="H21" s="35"/>
    </row>
    <row r="22" spans="1:8" s="1" customFormat="1" ht="135" customHeight="1" thickBot="1" x14ac:dyDescent="0.3">
      <c r="A22" s="19" t="s">
        <v>51</v>
      </c>
      <c r="B22" s="18" t="str">
        <f>VLOOKUP($A22,Questions!$A$2:$X$333,2,0)</f>
        <v>Does your solution have access to personal or institutional data?</v>
      </c>
      <c r="C22" s="72" t="str">
        <f>VLOOKUP($A22,'START HERE'!$A$23:$F$36,3,0)&amp;""</f>
        <v>Yes</v>
      </c>
      <c r="D22" s="308" t="str">
        <f>VLOOKUP($A22,'START HERE'!$A$23:$F$36,4,0)&amp;""</f>
        <v>Preservica does not prescribe or restrict the types of data customers choose to store in the platform. Customers determine the classification and sensitivity of the data they store, and are responsible for ensuring its use complies with their own legal and regulatory obligations. In respect of customer data held in the platform, Preservica acts as Processor and processes it only to provide the contracted service, on the customer's instructions and as required by applicable law. Customers retain ownership and control of their data at all times.</v>
      </c>
      <c r="E22" s="163" t="str">
        <f>IF($C22='Auto Responses'!$J$3,VLOOKUP($A22,Questions!$A$2:$X$333,17,0)&amp;"",IF($C22='Auto Responses'!$J$4,VLOOKUP($A22,Questions!$A$2:$X$333,16,0)&amp;"",VLOOKUP($A22,Questions!$A$2:$X$333,15,0)&amp;""))</f>
        <v>DO complete the Privacy tab</v>
      </c>
      <c r="F22" s="200" t="str">
        <f>VLOOKUP($A22,'START HERE'!$A$23:$F$36,6,0)&amp;""</f>
        <v/>
      </c>
      <c r="G22" s="234" t="s">
        <v>36</v>
      </c>
      <c r="H22" s="35"/>
    </row>
    <row r="23" spans="1:8" s="1" customFormat="1" ht="37.5" customHeight="1" thickBot="1" x14ac:dyDescent="0.3">
      <c r="A23" s="63" t="str">
        <f>VLOOKUP(LEFT($A24,4),'Auto Responses'!$N$4:$O$38,2,0)&amp;""</f>
        <v xml:space="preserve"> General Privacy</v>
      </c>
      <c r="B23" s="22"/>
      <c r="C23" s="13" t="s">
        <v>21</v>
      </c>
      <c r="D23" s="13" t="s">
        <v>22</v>
      </c>
      <c r="E23" s="31" t="s">
        <v>23</v>
      </c>
      <c r="F23" s="198" t="s">
        <v>24</v>
      </c>
      <c r="H23" s="35"/>
    </row>
    <row r="24" spans="1:8" s="1" customFormat="1" ht="102.75" customHeight="1" x14ac:dyDescent="0.25">
      <c r="A24" s="19" t="s">
        <v>464</v>
      </c>
      <c r="B24" s="18" t="str">
        <f>VLOOKUP($A24,Questions!$A$2:$X$333,2,0)</f>
        <v>Does your solution process FERPA-related data?</v>
      </c>
      <c r="C24" s="21" t="s">
        <v>26</v>
      </c>
      <c r="D24" s="312" t="s">
        <v>465</v>
      </c>
      <c r="E24" s="163" t="str">
        <f>IF($C24='Auto Responses'!$J$3,VLOOKUP($A24,Questions!$A$2:$X$333,17,0)&amp;"",IF($C24='Auto Responses'!$J$4,VLOOKUP($A24,Questions!$A$2:$X$333,16,0)&amp;"",VLOOKUP($A24,Questions!$A$2:$X$333,15,0)&amp;""))</f>
        <v>Provide documentation on the types of FERPA data you process and for what purpose, including data unrelated to service delivery such as marketing.</v>
      </c>
      <c r="F24" s="200" t="str">
        <f>VLOOKUP($A24,'Privacy Analyst Evaluation'!$A$46:$F$120,6,0)&amp;""</f>
        <v/>
      </c>
      <c r="H24" s="35"/>
    </row>
    <row r="25" spans="1:8" s="1" customFormat="1" ht="147" customHeight="1" x14ac:dyDescent="0.25">
      <c r="A25" s="19" t="s">
        <v>466</v>
      </c>
      <c r="B25" s="18" t="str">
        <f>VLOOKUP($A25,Questions!$A$2:$X$333,2,0)</f>
        <v>Does your solution process GDPR-related or PIPL-related data?</v>
      </c>
      <c r="C25" s="21" t="s">
        <v>26</v>
      </c>
      <c r="D25" s="366" t="s">
        <v>467</v>
      </c>
      <c r="E25" s="163" t="str">
        <f>IF($C25='Auto Responses'!$J$3,VLOOKUP($A25,Questions!$A$2:$X$333,17,0)&amp;"",IF($C25='Auto Responses'!$J$4,VLOOKUP($A25,Questions!$A$2:$X$333,16,0)&amp;"",VLOOKUP($A25,Questions!$A$2:$X$333,15,0)&amp;""))</f>
        <v>Provide documentation of any processes or policies that address compliance with GDPR and/or PIPL as appropriate.</v>
      </c>
      <c r="F25" s="200" t="str">
        <f>VLOOKUP($A25,'Privacy Analyst Evaluation'!$A$46:$F$120,6,0)&amp;""</f>
        <v/>
      </c>
      <c r="H25" s="35"/>
    </row>
    <row r="26" spans="1:8" s="1" customFormat="1" ht="118.5" customHeight="1" x14ac:dyDescent="0.25">
      <c r="A26" s="19" t="s">
        <v>468</v>
      </c>
      <c r="B26" s="18" t="str">
        <f>VLOOKUP($A26,Questions!$A$2:$X$333,2,0)</f>
        <v>Does your solution process personal data regulated by state law(s) (e.g., CCPA)?</v>
      </c>
      <c r="C26" s="21" t="s">
        <v>26</v>
      </c>
      <c r="D26" s="366" t="s">
        <v>469</v>
      </c>
      <c r="E26" s="163" t="str">
        <f>IF($C26='Auto Responses'!$J$3,VLOOKUP($A26,Questions!$A$2:$X$333,17,0)&amp;"",IF($C26='Auto Responses'!$J$4,VLOOKUP($A26,Questions!$A$2:$X$333,16,0)&amp;"",VLOOKUP($A26,Questions!$A$2:$X$333,15,0)&amp;""))</f>
        <v>Provide documentation of any processes or policies that address compliance with applicable state laws.</v>
      </c>
      <c r="F26" s="200" t="str">
        <f>VLOOKUP($A26,'Privacy Analyst Evaluation'!$A$46:$F$120,6,0)&amp;""</f>
        <v/>
      </c>
      <c r="H26" s="35"/>
    </row>
    <row r="27" spans="1:8" s="1" customFormat="1" ht="130.5" customHeight="1" x14ac:dyDescent="0.25">
      <c r="A27" s="19" t="s">
        <v>470</v>
      </c>
      <c r="B27" s="18" t="str">
        <f>VLOOKUP($A27,Questions!$A$2:$X$333,2,0)</f>
        <v>Does your solution process user-provided data that may contain regulated information?</v>
      </c>
      <c r="C27" s="21" t="s">
        <v>26</v>
      </c>
      <c r="D27" s="366" t="s">
        <v>471</v>
      </c>
      <c r="E27" s="163" t="str">
        <f>IF($C27='Auto Responses'!$J$3,VLOOKUP($A27,Questions!$A$2:$X$333,17,0)&amp;"",IF($C27='Auto Responses'!$J$4,VLOOKUP($A27,Questions!$A$2:$X$333,16,0)&amp;"",VLOOKUP($A27,Questions!$A$2:$X$333,15,0)&amp;""))</f>
        <v>Identify any applicable regulations and provide documentation of any processes or policies that address compliance with each.</v>
      </c>
      <c r="F27" s="200" t="str">
        <f>VLOOKUP($A27,'Privacy Analyst Evaluation'!$A$46:$F$120,6,0)&amp;""</f>
        <v/>
      </c>
      <c r="H27" s="35"/>
    </row>
    <row r="28" spans="1:8" s="1" customFormat="1" ht="54.5" thickBot="1" x14ac:dyDescent="0.3">
      <c r="A28" s="19" t="s">
        <v>472</v>
      </c>
      <c r="B28" s="18" t="str">
        <f>VLOOKUP($A28,Questions!$A$2:$X$333,2,0)</f>
        <v>Web Link to Product/Service Privacy Notice</v>
      </c>
      <c r="C28" s="21"/>
      <c r="D28" s="371" t="s">
        <v>473</v>
      </c>
      <c r="E28" s="163" t="str">
        <f>IF($D28='Auto Responses'!$J$3,VLOOKUP($A28,Questions!$A$2:$X$333,17,0)&amp;"",IF($D28='Auto Responses'!$J$4,VLOOKUP($A28,Questions!$A$2:$X$333,16,0)&amp;"",VLOOKUP($A28,Questions!$A$2:$X$333,15,0)&amp;""))</f>
        <v>If multiple notices are implicated, provide all that apply. If any other documents are incorporated by reference, provide them as well.</v>
      </c>
      <c r="F28" s="200" t="str">
        <f>VLOOKUP($A28,'Privacy Analyst Evaluation'!$A$46:$F$120,6,0)&amp;""</f>
        <v/>
      </c>
      <c r="G28" s="234" t="s">
        <v>36</v>
      </c>
      <c r="H28" s="35"/>
    </row>
    <row r="29" spans="1:8" s="1" customFormat="1" ht="37.5" customHeight="1" thickBot="1" x14ac:dyDescent="0.3">
      <c r="A29" s="63" t="str">
        <f>VLOOKUP(LEFT($A30,4),'Auto Responses'!$N$4:$O$38,2,0)&amp;""</f>
        <v xml:space="preserve"> Privacy-Specific Company Details</v>
      </c>
      <c r="B29" s="22"/>
      <c r="C29" s="13" t="s">
        <v>21</v>
      </c>
      <c r="D29" s="13" t="s">
        <v>22</v>
      </c>
      <c r="E29" s="31" t="s">
        <v>23</v>
      </c>
      <c r="F29" s="198" t="s">
        <v>24</v>
      </c>
      <c r="H29" s="35"/>
    </row>
    <row r="30" spans="1:8" s="1" customFormat="1" ht="92.25" customHeight="1" x14ac:dyDescent="0.25">
      <c r="A30" s="19" t="s">
        <v>474</v>
      </c>
      <c r="B30" s="18" t="str">
        <f>VLOOKUP($A30,Questions!$A$2:$X$333,2,0)</f>
        <v>Have you had a personal data breach in the past three years that involved reporting to a governmental agency, notice to individuals (including voluntary notice), or notice to another organization or institution?*</v>
      </c>
      <c r="C30" s="21" t="s">
        <v>46</v>
      </c>
      <c r="D30" s="322"/>
      <c r="E30" s="163" t="str">
        <f>IF($C30='Auto Responses'!$J$3,VLOOKUP($A30,Questions!$A$2:$X$333,17,0)&amp;"",IF($C30='Auto Responses'!$J$4,VLOOKUP($A30,Questions!$A$2:$X$333,16,0)&amp;"",VLOOKUP($A30,Questions!$A$2:$X$333,15,0)&amp;""))</f>
        <v/>
      </c>
      <c r="F30" s="200" t="str">
        <f>VLOOKUP($A30,'Privacy Analyst Evaluation'!$A$46:$F$120,6,0)&amp;""</f>
        <v/>
      </c>
      <c r="H30" s="35"/>
    </row>
    <row r="31" spans="1:8" s="1" customFormat="1" ht="409.5" customHeight="1" x14ac:dyDescent="0.25">
      <c r="A31" s="19" t="s">
        <v>475</v>
      </c>
      <c r="B31" s="18" t="str">
        <f>VLOOKUP($A31,Questions!$A$2:$X$333,2,0)</f>
        <v>Use this area to share information about your privacy practices that will assist those who are assessing your company data privacy program.*</v>
      </c>
      <c r="C31" s="21"/>
      <c r="D31" s="371" t="s">
        <v>476</v>
      </c>
      <c r="E31" s="163" t="str">
        <f>IF($D31='Auto Responses'!$J$3,VLOOKUP($A31,Questions!$A$2:$X$333,17,0)&amp;"",IF($D31='Auto Responses'!$J$4,VLOOKUP($A31,Questions!$A$2:$X$333,16,0)&amp;"",VLOOKUP($A31,Questions!$A$2:$X$333,15,0)&amp;""))</f>
        <v>Share any additional details that would help data privacy analysts assess your solution.</v>
      </c>
      <c r="F31" s="200" t="str">
        <f>VLOOKUP($A31,'Privacy Analyst Evaluation'!$A$46:$F$120,6,0)&amp;""</f>
        <v/>
      </c>
      <c r="H31" s="35"/>
    </row>
    <row r="32" spans="1:8" s="1" customFormat="1" ht="27" x14ac:dyDescent="0.25">
      <c r="A32" s="19" t="s">
        <v>477</v>
      </c>
      <c r="B32" s="18" t="str">
        <f>VLOOKUP($A32,Questions!$A$2:$X$333,2,0)</f>
        <v>Have you had any violations of your internal privacy policies or violations of applicable privacy law in the past 36 months?</v>
      </c>
      <c r="C32" s="21" t="s">
        <v>46</v>
      </c>
      <c r="D32" s="322"/>
      <c r="E32" s="163" t="str">
        <f>IF($C32='Auto Responses'!$J$3,VLOOKUP($A32,Questions!$A$2:$X$333,17,0)&amp;"",IF($C32='Auto Responses'!$J$4,VLOOKUP($A32,Questions!$A$2:$X$333,16,0)&amp;"",VLOOKUP($A32,Questions!$A$2:$X$333,15,0)&amp;""))</f>
        <v/>
      </c>
      <c r="F32" s="200" t="str">
        <f>VLOOKUP($A32,'Privacy Analyst Evaluation'!$A$46:$F$120,6,0)&amp;""</f>
        <v/>
      </c>
      <c r="H32" s="35"/>
    </row>
    <row r="33" spans="1:8" s="1" customFormat="1" ht="135.5" thickBot="1" x14ac:dyDescent="0.3">
      <c r="A33" s="19" t="s">
        <v>478</v>
      </c>
      <c r="B33" s="18" t="str">
        <f>VLOOKUP($A33,Questions!$A$2:$X$333,2,0)</f>
        <v>Do you have a dedicated data privacy staff or office?</v>
      </c>
      <c r="C33" s="21" t="s">
        <v>26</v>
      </c>
      <c r="D33" s="312" t="s">
        <v>479</v>
      </c>
      <c r="E33" s="163" t="str">
        <f>IF($C33='Auto Responses'!$J$3,VLOOKUP($A33,Questions!$A$2:$X$333,17,0)&amp;"",IF($C33='Auto Responses'!$J$4,VLOOKUP($A33,Questions!$A$2:$X$333,16,0)&amp;"",VLOOKUP($A33,Questions!$A$2:$X$333,15,0)&amp;""))</f>
        <v>Describe your data privacy office, including size, talents, resources, etc.</v>
      </c>
      <c r="F33" s="200" t="str">
        <f>VLOOKUP($A33,'Privacy Analyst Evaluation'!$A$46:$F$120,6,0)&amp;""</f>
        <v/>
      </c>
      <c r="G33" s="234" t="s">
        <v>36</v>
      </c>
      <c r="H33" s="35"/>
    </row>
    <row r="34" spans="1:8" s="1" customFormat="1" ht="37.5" customHeight="1" thickBot="1" x14ac:dyDescent="0.3">
      <c r="A34" s="63" t="str">
        <f>VLOOKUP(LEFT($A35,4),'Auto Responses'!$N$4:$O$38,2,0)&amp;""</f>
        <v xml:space="preserve"> Privacy-Specific Documentation</v>
      </c>
      <c r="B34" s="22"/>
      <c r="C34" s="13" t="s">
        <v>21</v>
      </c>
      <c r="D34" s="13" t="s">
        <v>22</v>
      </c>
      <c r="E34" s="31" t="s">
        <v>23</v>
      </c>
      <c r="F34" s="198" t="s">
        <v>24</v>
      </c>
      <c r="H34" s="35"/>
    </row>
    <row r="35" spans="1:8" s="1" customFormat="1" ht="204.75" customHeight="1" x14ac:dyDescent="0.25">
      <c r="A35" s="19" t="s">
        <v>480</v>
      </c>
      <c r="B35" s="18" t="str">
        <f>VLOOKUP($A35,Questions!$A$2:$X$333,2,0)</f>
        <v>If you have completed a SOC 2 audit, does it include the Privacy Trust Service Principle?</v>
      </c>
      <c r="C35" s="21" t="s">
        <v>46</v>
      </c>
      <c r="D35" s="366" t="s">
        <v>481</v>
      </c>
      <c r="E35" s="163" t="str">
        <f>IF($C35='Auto Responses'!$J$3,VLOOKUP($A35,Questions!$A$2:$X$333,17,0)&amp;"",IF($C35='Auto Responses'!$J$4,VLOOKUP($A35,Questions!$A$2:$X$333,16,0)&amp;"",IF($C35='Auto Responses'!$J$5,VLOOKUP($A35,Questions!$A$2:$X$333,18,0)&amp;"",VLOOKUP($A35,Questions!$A$2:$X$333,15,0)&amp;"")))</f>
        <v>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v>
      </c>
      <c r="F35" s="200" t="str">
        <f>VLOOKUP($A35,'Privacy Analyst Evaluation'!$A$46:$F$120,6,0)&amp;""</f>
        <v/>
      </c>
      <c r="H35" s="35"/>
    </row>
    <row r="36" spans="1:8" s="1" customFormat="1" ht="230.25" customHeight="1" x14ac:dyDescent="0.25">
      <c r="A36" s="19" t="s">
        <v>482</v>
      </c>
      <c r="B36" s="18" t="str">
        <f>VLOOKUP($A36,Questions!$A$2:$X$333,2,0)</f>
        <v>Do you conform with a specific industry-standard privacy framework (e.g., NIST Privacy Framework, GDPR, ISO 27701)?</v>
      </c>
      <c r="C36" s="21" t="s">
        <v>26</v>
      </c>
      <c r="D36" s="312" t="s">
        <v>483</v>
      </c>
      <c r="E36" s="163" t="str">
        <f>IF($C36='Auto Responses'!$J$3,VLOOKUP($A36,Questions!$A$2:$X$333,17,0)&amp;"",IF($C36='Auto Responses'!$J$4,VLOOKUP($A36,Questions!$A$2:$X$333,16,0)&amp;"",VLOOKUP($A36,Questions!$A$2:$X$333,15,0)&amp;""))</f>
        <v>Indicate which framework(s) are followed; provide documentation on how your organization conforms to your chosen framework(s) and indicate current certification levels, where appropriate.</v>
      </c>
      <c r="F36" s="200" t="str">
        <f>VLOOKUP($A36,'Privacy Analyst Evaluation'!$A$46:$F$120,6,0)&amp;""</f>
        <v/>
      </c>
      <c r="H36" s="35"/>
    </row>
    <row r="37" spans="1:8" s="1" customFormat="1" ht="282" customHeight="1" thickBot="1" x14ac:dyDescent="0.3">
      <c r="A37" s="19" t="s">
        <v>484</v>
      </c>
      <c r="B37" s="18" t="str">
        <f>VLOOKUP($A37,Questions!$A$2:$X$333,2,0)</f>
        <v>Does your employee onboarding and offboarding policy include training of employees on information security and data privacy?</v>
      </c>
      <c r="C37" s="21" t="s">
        <v>26</v>
      </c>
      <c r="D37" s="366" t="s">
        <v>485</v>
      </c>
      <c r="E37" s="163" t="str">
        <f>IF($C37='Auto Responses'!$J$3,VLOOKUP($A37,Questions!$A$2:$X$333,17,0)&amp;"",IF($C37='Auto Responses'!$J$4,VLOOKUP($A37,Questions!$A$2:$X$333,16,0)&amp;"",VLOOKUP($A37,Questions!$A$2:$X$333,15,0)&amp;""))</f>
        <v>Provide an overview of your organization's relevant onboarding/offboarding policy and employee training on information security and privacy.</v>
      </c>
      <c r="F37" s="200" t="str">
        <f>VLOOKUP($A37,'Privacy Analyst Evaluation'!$A$46:$F$120,6,0)&amp;""</f>
        <v/>
      </c>
      <c r="G37" s="234" t="s">
        <v>36</v>
      </c>
      <c r="H37" s="35"/>
    </row>
    <row r="38" spans="1:8" s="1" customFormat="1" ht="37.5" customHeight="1" thickBot="1" x14ac:dyDescent="0.3">
      <c r="A38" s="63" t="str">
        <f>VLOOKUP(LEFT($A39,4),'Auto Responses'!$N$4:$O$38,2,0)&amp;""</f>
        <v xml:space="preserve"> Privacy of Third Parties</v>
      </c>
      <c r="B38" s="22"/>
      <c r="C38" s="13" t="s">
        <v>21</v>
      </c>
      <c r="D38" s="13" t="s">
        <v>22</v>
      </c>
      <c r="E38" s="31" t="s">
        <v>23</v>
      </c>
      <c r="F38" s="198" t="s">
        <v>24</v>
      </c>
      <c r="H38" s="35"/>
    </row>
    <row r="39" spans="1:8" s="1" customFormat="1" ht="278.25" customHeight="1" x14ac:dyDescent="0.25">
      <c r="A39" s="19" t="s">
        <v>486</v>
      </c>
      <c r="B39" s="18" t="str">
        <f>VLOOKUP($A39,Questions!$A$2:$X$333,2,0)</f>
        <v>Do you have contractual agreements with third parties that require them to maintain standards and to comply with all regulatory requirements?*</v>
      </c>
      <c r="C39" s="21" t="s">
        <v>26</v>
      </c>
      <c r="D39" s="366" t="s">
        <v>487</v>
      </c>
      <c r="E39" s="163" t="str">
        <f>IF($C39='Auto Responses'!$J$3,VLOOKUP($A39,Questions!$A$2:$X$333,17,0)&amp;"",IF($C39='Auto Responses'!$J$4,VLOOKUP($A39,Questions!$A$2:$X$333,16,0)&amp;"",IF($C39='Auto Responses'!$J$5,VLOOKUP($A39,Questions!$A$2:$X$333,18,0)&amp;"",VLOOKUP($A39,Questions!$A$2:$X$333,15,0)&amp;"")))</f>
        <v>Provide a summary of the contractual language used and your processes for ensuring appropriate language is regularly reviewed and is included in both new and renewed agreements.</v>
      </c>
      <c r="F39" s="200" t="str">
        <f>VLOOKUP($A39,'Privacy Analyst Evaluation'!$A$46:$F$120,6,0)&amp;""</f>
        <v/>
      </c>
      <c r="H39" s="35"/>
    </row>
    <row r="40" spans="1:8" s="1" customFormat="1" ht="276" customHeight="1" thickBot="1" x14ac:dyDescent="0.3">
      <c r="A40" s="19" t="s">
        <v>488</v>
      </c>
      <c r="B40" s="18" t="str">
        <f>VLOOKUP($A40,Questions!$A$2:$X$333,2,0)</f>
        <v>Do you perform privacy impact assessments of third parties that collect, process, or have access to personal data to ensure they meet industry and regulatory standards and to mitigate harmful, unethical, or discriminatory impacts on data subjects?</v>
      </c>
      <c r="C40" s="21" t="s">
        <v>26</v>
      </c>
      <c r="D40" s="366" t="s">
        <v>489</v>
      </c>
      <c r="E40" s="163" t="str">
        <f>IF($C40='Auto Responses'!$J$3,VLOOKUP($A40,Questions!$A$2:$X$333,17,0)&amp;"",IF($C40='Auto Responses'!$J$4,VLOOKUP($A40,Questions!$A$2:$X$333,16,0)&amp;"",IF($C40='Auto Responses'!$J$5,VLOOKUP($A40,Questions!$A$2:$X$333,18,0)&amp;"",VLOOKUP($A40,Questions!$A$2:$X$333,15,0)&amp;"")))</f>
        <v>Provide a summary of your practices that assures that the third party will be subject to the appropriate standards regarding data privacy.</v>
      </c>
      <c r="F40" s="200" t="str">
        <f>VLOOKUP($A40,'Privacy Analyst Evaluation'!$A$46:$F$120,6,0)&amp;""</f>
        <v/>
      </c>
      <c r="G40" s="234" t="s">
        <v>36</v>
      </c>
      <c r="H40" s="35"/>
    </row>
    <row r="41" spans="1:8" s="1" customFormat="1" ht="37.5" customHeight="1" thickBot="1" x14ac:dyDescent="0.3">
      <c r="A41" s="63" t="str">
        <f>VLOOKUP(LEFT($A42,4),'Auto Responses'!$N$4:$O$38,2,0)&amp;""</f>
        <v xml:space="preserve"> Privacy Change Management</v>
      </c>
      <c r="B41" s="22"/>
      <c r="C41" s="13" t="s">
        <v>21</v>
      </c>
      <c r="D41" s="13" t="s">
        <v>22</v>
      </c>
      <c r="E41" s="31" t="s">
        <v>23</v>
      </c>
      <c r="F41" s="198" t="s">
        <v>24</v>
      </c>
      <c r="H41" s="35"/>
    </row>
    <row r="42" spans="1:8" s="1" customFormat="1" ht="276.75" customHeight="1" x14ac:dyDescent="0.25">
      <c r="A42" s="19" t="s">
        <v>490</v>
      </c>
      <c r="B42" s="18" t="str">
        <f>VLOOKUP($A42,Questions!$A$2:$X$333,2,0)</f>
        <v>Does your change management process include privacy review and approval?</v>
      </c>
      <c r="C42" s="21" t="s">
        <v>26</v>
      </c>
      <c r="D42" s="312" t="s">
        <v>491</v>
      </c>
      <c r="E42" s="163" t="str">
        <f>IF($C42='Auto Responses'!$J$3,VLOOKUP($A42,Questions!$A$2:$X$333,17,0)&amp;"",IF($C42='Auto Responses'!$J$4,VLOOKUP($A42,Questions!$A$2:$X$333,16,0)&amp;"",VLOOKUP($A42,Questions!$A$2:$X$333,15,0)&amp;""))</f>
        <v>Please describe your process for privacy review.</v>
      </c>
      <c r="F42" s="200" t="str">
        <f>VLOOKUP($A42,'Privacy Analyst Evaluation'!$A$46:$F$120,6,0)&amp;""</f>
        <v/>
      </c>
      <c r="H42" s="35"/>
    </row>
    <row r="43" spans="1:8" s="1" customFormat="1" ht="303.75" customHeight="1" thickBot="1" x14ac:dyDescent="0.3">
      <c r="A43" s="19" t="s">
        <v>492</v>
      </c>
      <c r="B43" s="18" t="str">
        <f>VLOOKUP($A43,Questions!$A$2:$X$333,2,0)</f>
        <v>Do you have policy and procedure, currently implemented, guiding how privacy risks are mitigated until they can be resolved?</v>
      </c>
      <c r="C43" s="21" t="s">
        <v>26</v>
      </c>
      <c r="D43" s="366" t="s">
        <v>493</v>
      </c>
      <c r="E43" s="163" t="str">
        <f>IF($C43='Auto Responses'!$J$3,VLOOKUP($A43,Questions!$A$2:$X$333,17,0)&amp;"",IF($C43='Auto Responses'!$J$4,VLOOKUP($A43,Questions!$A$2:$X$333,16,0)&amp;"",VLOOKUP($A43,Questions!$A$2:$X$333,15,0)&amp;""))</f>
        <v>Please provide an overview of privacy risk mitigation.</v>
      </c>
      <c r="F43" s="200" t="str">
        <f>VLOOKUP($A43,'Privacy Analyst Evaluation'!$A$46:$F$120,6,0)&amp;""</f>
        <v/>
      </c>
      <c r="G43" s="234" t="s">
        <v>36</v>
      </c>
      <c r="H43" s="35"/>
    </row>
    <row r="44" spans="1:8" s="1" customFormat="1" ht="37.5" customHeight="1" thickBot="1" x14ac:dyDescent="0.3">
      <c r="A44" s="63" t="str">
        <f>VLOOKUP(LEFT($A45,4),'Auto Responses'!$N$4:$O$38,2,0)&amp;""</f>
        <v xml:space="preserve"> Privacy of Sensitive Data</v>
      </c>
      <c r="B44" s="22"/>
      <c r="C44" s="13" t="s">
        <v>21</v>
      </c>
      <c r="D44" s="13" t="s">
        <v>22</v>
      </c>
      <c r="E44" s="31" t="s">
        <v>23</v>
      </c>
      <c r="F44" s="198" t="s">
        <v>24</v>
      </c>
      <c r="H44" s="35"/>
    </row>
    <row r="45" spans="1:8" s="1" customFormat="1" ht="162" x14ac:dyDescent="0.25">
      <c r="A45" s="19" t="s">
        <v>494</v>
      </c>
      <c r="B45" s="18" t="str">
        <f>VLOOKUP($A45,Questions!$A$2:$X$333,2,0)</f>
        <v>Do you collect, process, or store demographic information?*</v>
      </c>
      <c r="C45" s="21" t="s">
        <v>46</v>
      </c>
      <c r="D45" s="322" t="s">
        <v>495</v>
      </c>
      <c r="E45" s="163" t="str">
        <f>IF($C45='Auto Responses'!$J$3,VLOOKUP($A45,Questions!$A$2:$X$333,17,0)&amp;"",IF($C45='Auto Responses'!$J$4,VLOOKUP($A45,Questions!$A$2:$X$333,16,0)&amp;"",VLOOKUP($A45,Questions!$A$2:$X$333,15,0)&amp;""))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45" s="200" t="str">
        <f>VLOOKUP($A45,'Privacy Analyst Evaluation'!$A$46:$F$120,6,0)&amp;""</f>
        <v/>
      </c>
      <c r="H45" s="35"/>
    </row>
    <row r="46" spans="1:8" s="1" customFormat="1" ht="202.5" x14ac:dyDescent="0.25">
      <c r="A46" s="19" t="s">
        <v>496</v>
      </c>
      <c r="B46" s="18" t="str">
        <f>VLOOKUP($A46,Questions!$A$2:$X$333,2,0)</f>
        <v>Do you capture or create genetic, biometric, or behaviometric information (e.g., facial recognition or fingerprints)?*</v>
      </c>
      <c r="C46" s="21" t="s">
        <v>46</v>
      </c>
      <c r="D46" s="322" t="s">
        <v>2155</v>
      </c>
      <c r="E46" s="163" t="str">
        <f>IF($C46='Auto Responses'!$J$3,VLOOKUP($A46,Questions!$A$2:$X$333,17,0)&amp;"",IF($C46='Auto Responses'!$J$4,VLOOKUP($A46,Questions!$A$2:$X$333,16,0)&amp;"",VLOOKUP($A46,Questions!$A$2:$X$333,15,0)&amp;""))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46" s="200" t="str">
        <f>VLOOKUP($A46,'Privacy Analyst Evaluation'!$A$46:$F$120,6,0)&amp;""</f>
        <v/>
      </c>
      <c r="H46" s="35"/>
    </row>
    <row r="47" spans="1:8" s="1" customFormat="1" ht="135" x14ac:dyDescent="0.25">
      <c r="A47" s="19" t="s">
        <v>497</v>
      </c>
      <c r="B47" s="18" t="str">
        <f>VLOOKUP($A47,Questions!$A$2:$X$333,2,0)</f>
        <v>Do you combine institutional data (including "de-identified," "anonymized," or otherwise masked data) with personal data from any other sources?*</v>
      </c>
      <c r="C47" s="21" t="s">
        <v>46</v>
      </c>
      <c r="D47" s="322" t="s">
        <v>498</v>
      </c>
      <c r="E47" s="163" t="str">
        <f>IF($C47='Auto Responses'!$J$3,VLOOKUP($A47,Questions!$A$2:$X$333,17,0)&amp;"",IF($C47='Auto Responses'!$J$4,VLOOKUP($A47,Questions!$A$2:$X$333,16,0)&amp;"",VLOOKUP($A47,Questions!$A$2:$X$333,15,0)&amp;""))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47" s="200" t="str">
        <f>VLOOKUP($A47,'Privacy Analyst Evaluation'!$A$46:$F$120,6,0)&amp;""</f>
        <v/>
      </c>
      <c r="H47" s="35"/>
    </row>
    <row r="48" spans="1:8" s="1" customFormat="1" ht="220.5" customHeight="1" x14ac:dyDescent="0.25">
      <c r="A48" s="19" t="s">
        <v>499</v>
      </c>
      <c r="B48" s="18" t="str">
        <f>VLOOKUP($A48,Questions!$A$2:$X$333,2,0)</f>
        <v>Is institutional data coming into or going out of the United States at any point during collection, processing, storage, or archiving?</v>
      </c>
      <c r="C48" s="21" t="s">
        <v>26</v>
      </c>
      <c r="D48" s="322" t="s">
        <v>500</v>
      </c>
      <c r="E48" s="163" t="str">
        <f>IF($C48='Auto Responses'!$J$3,VLOOKUP($A48,Questions!$A$2:$X$333,17,0)&amp;"",IF($C48='Auto Responses'!$J$4,VLOOKUP($A48,Questions!$A$2:$X$333,16,0)&amp;"",VLOOKUP($A48,Questions!$A$2:$X$333,15,0)&amp;""))</f>
        <v>Describe where and whether you comply with the laws of that jurisdiction.</v>
      </c>
      <c r="F48" s="200" t="str">
        <f>VLOOKUP($A48,'Privacy Analyst Evaluation'!$A$46:$F$120,6,0)&amp;""</f>
        <v/>
      </c>
      <c r="H48" s="35"/>
    </row>
    <row r="49" spans="1:8" s="1" customFormat="1" ht="198" customHeight="1" x14ac:dyDescent="0.25">
      <c r="A49" s="19" t="s">
        <v>501</v>
      </c>
      <c r="B49" s="18" t="str">
        <f>VLOOKUP($A49,Questions!$A$2:$X$333,2,0)</f>
        <v>Do you capture device information (e.g., IP address, MAC address)?</v>
      </c>
      <c r="C49" s="21" t="s">
        <v>26</v>
      </c>
      <c r="D49" s="366" t="s">
        <v>502</v>
      </c>
      <c r="E49" s="163" t="str">
        <f>IF($C49='Auto Responses'!$J$3,VLOOKUP($A49,Questions!$A$2:$X$333,17,0)&amp;"",IF($C49='Auto Responses'!$J$4,VLOOKUP($A49,Questions!$A$2:$X$333,16,0)&amp;"",VLOOKUP($A49,Questions!$A$2:$X$333,15,0)&amp;""))</f>
        <v>Describe what information you collect and the reason for collecting it.</v>
      </c>
      <c r="F49" s="200" t="str">
        <f>VLOOKUP($A49,'Privacy Analyst Evaluation'!$A$46:$F$120,6,0)&amp;""</f>
        <v/>
      </c>
      <c r="H49" s="35"/>
    </row>
    <row r="50" spans="1:8" s="1" customFormat="1" ht="220.5" customHeight="1" x14ac:dyDescent="0.25">
      <c r="A50" s="19" t="s">
        <v>503</v>
      </c>
      <c r="B50" s="18" t="str">
        <f>VLOOKUP($A50,Questions!$A$2:$X$333,2,0)</f>
        <v>Does any part of this service/project involve a web/app tracking component (e.g., use of web-tracking pixels, cookies)?</v>
      </c>
      <c r="C50" s="21" t="s">
        <v>26</v>
      </c>
      <c r="D50" s="312" t="s">
        <v>504</v>
      </c>
      <c r="E50" s="163" t="str">
        <f>IF($C50='Auto Responses'!$J$3,VLOOKUP($A50,Questions!$A$2:$X$333,17,0)&amp;"",IF($C50='Auto Responses'!$J$4,VLOOKUP($A50,Questions!$A$2:$X$333,16,0)&amp;"",VLOOKUP($A50,Questions!$A$2:$X$333,15,0)&amp;""))</f>
        <v>Describe the tracking component and what is done with the information.</v>
      </c>
      <c r="F50" s="200" t="str">
        <f>VLOOKUP($A50,'Privacy Analyst Evaluation'!$A$46:$F$120,6,0)&amp;""</f>
        <v/>
      </c>
      <c r="H50" s="35"/>
    </row>
    <row r="51" spans="1:8" s="1" customFormat="1" ht="409.5" x14ac:dyDescent="0.25">
      <c r="A51" s="19" t="s">
        <v>505</v>
      </c>
      <c r="B51" s="18" t="str">
        <f>VLOOKUP($A51,Questions!$A$2:$X$333,2,0)</f>
        <v>Does your staff (or a third party) have access to institutional data (e.g., financial, PHI, or other sensitive information) through any means?</v>
      </c>
      <c r="C51" s="21" t="s">
        <v>26</v>
      </c>
      <c r="D51" s="312" t="s">
        <v>506</v>
      </c>
      <c r="E51" s="163" t="str">
        <f>IF($C51='Auto Responses'!$J$3,VLOOKUP($A51,Questions!$A$2:$X$333,17,0)&amp;"",IF($C51='Auto Responses'!$J$4,VLOOKUP($A51,Questions!$A$2:$X$333,16,0)&amp;"",VLOOKUP($A51,Questions!$A$2:$X$333,15,0)&amp;""))</f>
        <v>Summarize the access that staff (or third parties) have to institutional data.</v>
      </c>
      <c r="F51" s="200" t="str">
        <f>VLOOKUP($A51,'Privacy Analyst Evaluation'!$A$46:$F$120,6,0)&amp;""</f>
        <v/>
      </c>
      <c r="H51" s="35"/>
    </row>
    <row r="52" spans="1:8" s="1" customFormat="1" ht="216.5" thickBot="1" x14ac:dyDescent="0.3">
      <c r="A52" s="19" t="s">
        <v>507</v>
      </c>
      <c r="B52" s="18" t="str">
        <f>VLOOKUP($A52,Questions!$A$2:$X$333,2,0)</f>
        <v>Will you handle personal data in a manner compliant with all relevant laws, regulations, and applicable institution policies?</v>
      </c>
      <c r="C52" s="21" t="s">
        <v>26</v>
      </c>
      <c r="D52" s="322" t="s">
        <v>508</v>
      </c>
      <c r="E52" s="163" t="str">
        <f>IF($C52='Auto Responses'!$J$3,VLOOKUP($A52,Questions!$A$2:$X$333,17,0)&amp;"",IF($C52='Auto Responses'!$J$4,VLOOKUP($A52,Questions!$A$2:$X$333,16,0)&amp;"",VLOOKUP($A52,Questions!$A$2:$X$333,15,0)&amp;""))</f>
        <v/>
      </c>
      <c r="F52" s="200" t="str">
        <f>VLOOKUP($A52,'Privacy Analyst Evaluation'!$A$46:$F$120,6,0)&amp;""</f>
        <v/>
      </c>
      <c r="G52" s="234" t="s">
        <v>36</v>
      </c>
      <c r="H52" s="35"/>
    </row>
    <row r="53" spans="1:8" s="1" customFormat="1" ht="37.5" customHeight="1" thickBot="1" x14ac:dyDescent="0.3">
      <c r="A53" s="63" t="str">
        <f>VLOOKUP(LEFT($A54,4),'Auto Responses'!$N$4:$O$38,2,0)&amp;""</f>
        <v xml:space="preserve"> Privacy Policies and Procedures</v>
      </c>
      <c r="B53" s="22"/>
      <c r="C53" s="13" t="s">
        <v>21</v>
      </c>
      <c r="D53" s="13" t="s">
        <v>22</v>
      </c>
      <c r="E53" s="31" t="s">
        <v>23</v>
      </c>
      <c r="F53" s="198" t="s">
        <v>24</v>
      </c>
      <c r="H53" s="35"/>
    </row>
    <row r="54" spans="1:8" s="1" customFormat="1" ht="297" x14ac:dyDescent="0.25">
      <c r="A54" s="19" t="s">
        <v>509</v>
      </c>
      <c r="B54" s="18" t="str">
        <f>VLOOKUP($A54,Questions!$A$2:$X$333,2,0)</f>
        <v>Do you have a documented privacy management process?</v>
      </c>
      <c r="C54" s="21" t="s">
        <v>26</v>
      </c>
      <c r="D54" s="312" t="s">
        <v>510</v>
      </c>
      <c r="E54" s="163" t="str">
        <f>IF($C54='Auto Responses'!$J$3,VLOOKUP($A54,Questions!$A$2:$X$333,17,0)&amp;"",IF($C54='Auto Responses'!$J$4,VLOOKUP($A54,Questions!$A$2:$X$333,16,0)&amp;"",VLOOKUP($A54,Questions!$A$2:$X$333,15,0)&amp;""))</f>
        <v>Describe privacy management process or provide links or attach documentation.</v>
      </c>
      <c r="F54" s="200" t="str">
        <f>VLOOKUP($A54,'Privacy Analyst Evaluation'!$A$46:$F$120,6,0)&amp;""</f>
        <v/>
      </c>
      <c r="H54" s="35"/>
    </row>
    <row r="55" spans="1:8" s="1" customFormat="1" ht="301.5" customHeight="1" x14ac:dyDescent="0.25">
      <c r="A55" s="19" t="s">
        <v>511</v>
      </c>
      <c r="B55" s="18" t="str">
        <f>VLOOKUP($A55,Questions!$A$2:$X$333,2,0)</f>
        <v>Are privacy principles designed into the product lifecycle (i.e., privacy-by-design)?</v>
      </c>
      <c r="C55" s="21" t="s">
        <v>26</v>
      </c>
      <c r="D55" s="312" t="s">
        <v>512</v>
      </c>
      <c r="E55" s="163" t="str">
        <f>IF($C55='Auto Responses'!$J$3,VLOOKUP($A55,Questions!$A$2:$X$333,17,0)&amp;"",IF($C55='Auto Responses'!$J$4,VLOOKUP($A55,Questions!$A$2:$X$333,16,0)&amp;"",VLOOKUP($A55,Questions!$A$2:$X$333,15,0)&amp;""))</f>
        <v>Summarize the privacy principles designed into the product lifecycle.</v>
      </c>
      <c r="F55" s="200" t="str">
        <f>VLOOKUP($A55,'Privacy Analyst Evaluation'!$A$46:$F$120,6,0)&amp;""</f>
        <v/>
      </c>
      <c r="H55" s="35"/>
    </row>
    <row r="56" spans="1:8" s="1" customFormat="1" ht="216" x14ac:dyDescent="0.25">
      <c r="A56" s="19" t="s">
        <v>513</v>
      </c>
      <c r="B56" s="18" t="str">
        <f>VLOOKUP($A56,Questions!$A$2:$X$333,2,0)</f>
        <v>Will you comply with applicable breach notification laws?</v>
      </c>
      <c r="C56" s="21" t="s">
        <v>26</v>
      </c>
      <c r="D56" s="312" t="s">
        <v>2152</v>
      </c>
      <c r="E56" s="163" t="str">
        <f>IF($C56='Auto Responses'!$J$3,VLOOKUP($A56,Questions!$A$2:$X$333,17,0)&amp;"",IF($C56='Auto Responses'!$J$4,VLOOKUP($A56,Questions!$A$2:$X$333,16,0)&amp;"",VLOOKUP($A56,Questions!$A$2:$X$333,15,0)&amp;""))</f>
        <v>State how quickly the institution will be notified once a breach is identified, in addition to notifying the necessary governmental agencies based on the extent of the breach.</v>
      </c>
      <c r="F56" s="200" t="str">
        <f>VLOOKUP($A56,'Privacy Analyst Evaluation'!$A$46:$F$120,6,0)&amp;""</f>
        <v/>
      </c>
      <c r="H56" s="35"/>
    </row>
    <row r="57" spans="1:8" s="1" customFormat="1" ht="189" x14ac:dyDescent="0.25">
      <c r="A57" s="19" t="s">
        <v>514</v>
      </c>
      <c r="B57" s="18" t="str">
        <f>VLOOKUP($A57,Questions!$A$2:$X$333,2,0)</f>
        <v>Will you comply with the institution's policies regarding user privacy and data protection?</v>
      </c>
      <c r="C57" s="21" t="s">
        <v>26</v>
      </c>
      <c r="D57" s="312" t="s">
        <v>515</v>
      </c>
      <c r="E57" s="163" t="str">
        <f>IF($C57='Auto Responses'!$J$3,VLOOKUP($A57,Questions!$A$2:$X$333,17,0)&amp;"",IF($C57='Auto Responses'!$J$4,VLOOKUP($A57,Questions!$A$2:$X$333,16,0)&amp;"",VLOOKUP($A57,Questions!$A$2:$X$333,15,0)&amp;""))</f>
        <v/>
      </c>
      <c r="F57" s="200" t="str">
        <f>VLOOKUP($A57,'Privacy Analyst Evaluation'!$A$46:$F$120,6,0)&amp;""</f>
        <v/>
      </c>
      <c r="H57" s="35"/>
    </row>
    <row r="58" spans="1:8" s="1" customFormat="1" ht="67.5" x14ac:dyDescent="0.25">
      <c r="A58" s="19" t="s">
        <v>516</v>
      </c>
      <c r="B58" s="18" t="str">
        <f>VLOOKUP($A58,Questions!$A$2:$X$333,2,0)</f>
        <v>Is your company subject to the laws and regulations of the institution's geographic region?</v>
      </c>
      <c r="C58" s="21" t="s">
        <v>26</v>
      </c>
      <c r="D58" s="322" t="s">
        <v>517</v>
      </c>
      <c r="E58" s="163" t="str">
        <f>IF($C58='Auto Responses'!$J$3,VLOOKUP($A58,Questions!$A$2:$X$333,17,0)&amp;"",IF($C58='Auto Responses'!$J$4,VLOOKUP($A58,Questions!$A$2:$X$333,16,0)&amp;"",VLOOKUP($A58,Questions!$A$2:$X$333,15,0)&amp;""))</f>
        <v/>
      </c>
      <c r="F58" s="200" t="str">
        <f>VLOOKUP($A58,'Privacy Analyst Evaluation'!$A$46:$F$120,6,0)&amp;""</f>
        <v/>
      </c>
      <c r="H58" s="35"/>
    </row>
    <row r="59" spans="1:8" s="1" customFormat="1" ht="243.75" customHeight="1" x14ac:dyDescent="0.25">
      <c r="A59" s="19" t="s">
        <v>518</v>
      </c>
      <c r="B59" s="18" t="str">
        <f>VLOOKUP($A59,Questions!$A$2:$X$333,2,0)</f>
        <v>Do you have a privacy awareness/training program?*</v>
      </c>
      <c r="C59" s="21" t="s">
        <v>26</v>
      </c>
      <c r="D59" s="366" t="s">
        <v>519</v>
      </c>
      <c r="E59" s="163" t="str">
        <f>IF($C59='Auto Responses'!$J$3,VLOOKUP($A59,Questions!$A$2:$X$333,17,0)&amp;"",IF($C59='Auto Responses'!$J$4,VLOOKUP($A59,Questions!$A$2:$X$333,16,0)&amp;"",VLOOKUP($A59,Questions!$A$2:$X$333,15,0)&amp;""))</f>
        <v>Briefly describe what is included in the training.</v>
      </c>
      <c r="F59" s="200" t="str">
        <f>VLOOKUP($A59,'Privacy Analyst Evaluation'!$A$46:$F$120,6,0)&amp;""</f>
        <v/>
      </c>
      <c r="H59" s="35"/>
    </row>
    <row r="60" spans="1:8" s="1" customFormat="1" ht="229.5" x14ac:dyDescent="0.25">
      <c r="A60" s="19" t="s">
        <v>520</v>
      </c>
      <c r="B60" s="18" t="str">
        <f>VLOOKUP($A60,Questions!$A$2:$X$333,2,0)</f>
        <v>Is privacy awareness training mandatory for all employees?</v>
      </c>
      <c r="C60" s="21" t="s">
        <v>26</v>
      </c>
      <c r="D60" s="312" t="s">
        <v>521</v>
      </c>
      <c r="E60" s="163" t="str">
        <f>IF($C60='Auto Responses'!$J$3,VLOOKUP($A60,Questions!$A$2:$X$333,17,0)&amp;"",IF($C60='Auto Responses'!$J$4,VLOOKUP($A60,Questions!$A$2:$X$333,16,0)&amp;"",VLOOKUP($A60,Questions!$A$2:$X$333,15,0)&amp;""))</f>
        <v>Your response should include who must complete the training.</v>
      </c>
      <c r="F60" s="200" t="str">
        <f>VLOOKUP($A60,'Privacy Analyst Evaluation'!$A$46:$F$120,6,0)&amp;""</f>
        <v/>
      </c>
      <c r="H60" s="35"/>
    </row>
    <row r="61" spans="1:8" s="1" customFormat="1" ht="176.25" customHeight="1" x14ac:dyDescent="0.25">
      <c r="A61" s="19" t="s">
        <v>522</v>
      </c>
      <c r="B61" s="18" t="str">
        <f>VLOOKUP($A61,Questions!$A$2:$X$333,2,0)</f>
        <v>Is AI privacy and ethics awareness/training required for all employees who work with AI?</v>
      </c>
      <c r="C61" s="21" t="s">
        <v>26</v>
      </c>
      <c r="D61" s="366" t="s">
        <v>523</v>
      </c>
      <c r="E61" s="163" t="str">
        <f>IF($C61='Auto Responses'!$J$3,VLOOKUP($A61,Questions!$A$2:$X$333,17,0)&amp;"",IF($C61='Auto Responses'!$J$4,VLOOKUP($A61,Questions!$A$2:$X$333,16,0)&amp;"",IF($C61='Auto Responses'!$J$5,VLOOKUP($A61,Questions!$A$2:$X$333,18,0)&amp;"",VLOOKUP($A61,Questions!$A$2:$X$333,15,0)&amp;"")))</f>
        <v>Briefly describe what is included in the training.</v>
      </c>
      <c r="F61" s="200" t="str">
        <f>VLOOKUP($A61,'Privacy Analyst Evaluation'!$A$46:$F$120,6,0)&amp;""</f>
        <v/>
      </c>
      <c r="H61" s="35"/>
    </row>
    <row r="62" spans="1:8" s="1" customFormat="1" ht="94.5" x14ac:dyDescent="0.25">
      <c r="A62" s="19" t="s">
        <v>524</v>
      </c>
      <c r="B62" s="18" t="str">
        <f>VLOOKUP($A62,Questions!$A$2:$X$333,2,0)</f>
        <v>Do you have any decision-making processes that are completely automated (i.e., there is no human involvement)?</v>
      </c>
      <c r="C62" s="21" t="s">
        <v>46</v>
      </c>
      <c r="D62" s="322" t="s">
        <v>525</v>
      </c>
      <c r="E62" s="163" t="str">
        <f>IF($C62='Auto Responses'!$J$3,VLOOKUP($A62,Questions!$A$2:$X$333,17,0)&amp;"",IF($C62='Auto Responses'!$J$4,VLOOKUP($A62,Questions!$A$2:$X$333,16,0)&amp;"",VLOOKUP($A62,Questions!$A$2:$X$333,15,0)&amp;""))</f>
        <v>Examples of such automated decisions could include automatically denying or approving user access requests, flagging or blocking transactions based on risk scores, or AI-driven decisions that affect user outcomes (e.g., eligibility, grading, pricing).</v>
      </c>
      <c r="F62" s="200" t="str">
        <f>VLOOKUP($A62,'Privacy Analyst Evaluation'!$A$46:$F$120,6,0)&amp;""</f>
        <v/>
      </c>
      <c r="H62" s="35"/>
    </row>
    <row r="63" spans="1:8" s="1" customFormat="1" ht="108" x14ac:dyDescent="0.25">
      <c r="A63" s="19" t="s">
        <v>526</v>
      </c>
      <c r="B63" s="18" t="str">
        <f>VLOOKUP($A63,Questions!$A$2:$X$333,2,0)</f>
        <v>Do you have a documented process for managing automated processing, including validations, monitoring, and data subject requests?</v>
      </c>
      <c r="C63" s="21" t="s">
        <v>26</v>
      </c>
      <c r="D63" s="312" t="s">
        <v>527</v>
      </c>
      <c r="E63" s="163" t="str">
        <f>IF($C63='Auto Responses'!$J$3,VLOOKUP($A63,Questions!$A$2:$X$333,17,0)&amp;"",IF($C63='Auto Responses'!$J$4,VLOOKUP($A63,Questions!$A$2:$X$333,16,0)&amp;"",IF($C63='Auto Responses'!$J$5,VLOOKUP($A63,Questions!$A$2:$X$333,18,0)&amp;"",VLOOKUP($A63,Questions!$A$2:$X$333,15,0)&amp;"")))</f>
        <v>Briefly describe processes.</v>
      </c>
      <c r="F63" s="200" t="str">
        <f>VLOOKUP($A63,'Privacy Analyst Evaluation'!$A$46:$F$120,6,0)&amp;""</f>
        <v/>
      </c>
      <c r="H63" s="35"/>
    </row>
    <row r="64" spans="1:8" s="1" customFormat="1" ht="270" x14ac:dyDescent="0.25">
      <c r="A64" s="19" t="s">
        <v>528</v>
      </c>
      <c r="B64" s="18" t="str">
        <f>VLOOKUP($A64,Questions!$A$2:$X$333,2,0)</f>
        <v>Do you have a documented policy for sharing information with law enforcement?</v>
      </c>
      <c r="C64" s="21" t="s">
        <v>26</v>
      </c>
      <c r="D64" s="312" t="s">
        <v>529</v>
      </c>
      <c r="E64" s="163" t="str">
        <f>IF($C64='Auto Responses'!$J$3,VLOOKUP($A64,Questions!$A$2:$X$333,17,0)&amp;"",IF($C64='Auto Responses'!$J$4,VLOOKUP($A64,Questions!$A$2:$X$333,16,0)&amp;"",VLOOKUP($A64,Questions!$A$2:$X$333,15,0)&amp;""))</f>
        <v>Provide a high-level overview of the policy or plans to implement a policy.</v>
      </c>
      <c r="F64" s="200" t="str">
        <f>VLOOKUP($A64,'Privacy Analyst Evaluation'!$A$46:$F$120,6,0)&amp;""</f>
        <v/>
      </c>
      <c r="H64" s="35"/>
    </row>
    <row r="65" spans="1:8" s="1" customFormat="1" ht="141.75" customHeight="1" x14ac:dyDescent="0.25">
      <c r="A65" s="19" t="s">
        <v>530</v>
      </c>
      <c r="B65" s="18" t="str">
        <f>VLOOKUP($A65,Questions!$A$2:$X$333,2,0)</f>
        <v>Do you share any institutional data with law enforcement without a valid warrant or subpoena?*</v>
      </c>
      <c r="C65" s="21" t="s">
        <v>46</v>
      </c>
      <c r="D65" s="366" t="s">
        <v>531</v>
      </c>
      <c r="E65" s="163" t="str">
        <f>IF($C65='Auto Responses'!$J$3,VLOOKUP($A65,Questions!$A$2:$X$333,17,0)&amp;"",IF($C65='Auto Responses'!$J$4,VLOOKUP($A65,Questions!$A$2:$X$333,16,0)&amp;"",VLOOKUP($A65,Questions!$A$2:$X$333,15,0)&amp;""))</f>
        <v>Describe how you ensure this does not occur.</v>
      </c>
      <c r="F65" s="200" t="str">
        <f>VLOOKUP($A65,'Privacy Analyst Evaluation'!$A$46:$F$120,6,0)&amp;""</f>
        <v/>
      </c>
      <c r="H65" s="35"/>
    </row>
    <row r="66" spans="1:8" s="1" customFormat="1" ht="233.25" customHeight="1" thickBot="1" x14ac:dyDescent="0.3">
      <c r="A66" s="19" t="s">
        <v>532</v>
      </c>
      <c r="B66" s="18" t="str">
        <f>VLOOKUP($A66,Questions!$A$2:$X$333,2,0)</f>
        <v>Does your incident response team include a privacy analyst/officer?</v>
      </c>
      <c r="C66" s="21" t="s">
        <v>26</v>
      </c>
      <c r="D66" s="366" t="s">
        <v>533</v>
      </c>
      <c r="E66" s="163" t="str">
        <f>IF($C66='Auto Responses'!$J$3,VLOOKUP($A66,Questions!$A$2:$X$333,17,0)&amp;"",IF($C66='Auto Responses'!$J$4,VLOOKUP($A66,Questions!$A$2:$X$333,16,0)&amp;"",VLOOKUP($A66,Questions!$A$2:$X$333,15,0)&amp;""))</f>
        <v>Provide the incident response team membership and charge.</v>
      </c>
      <c r="F66" s="200" t="str">
        <f>VLOOKUP($A66,'Privacy Analyst Evaluation'!$A$46:$F$120,6,0)&amp;""</f>
        <v/>
      </c>
      <c r="G66" s="234" t="s">
        <v>36</v>
      </c>
      <c r="H66" s="35"/>
    </row>
    <row r="67" spans="1:8" s="1" customFormat="1" ht="37.5" customHeight="1" thickBot="1" x14ac:dyDescent="0.3">
      <c r="A67" s="63" t="str">
        <f>VLOOKUP(LEFT($A68,4),'Auto Responses'!$N$4:$O$38,2,0)&amp;""</f>
        <v xml:space="preserve"> International Privacy</v>
      </c>
      <c r="B67" s="22"/>
      <c r="C67" s="13" t="s">
        <v>21</v>
      </c>
      <c r="D67" s="13" t="s">
        <v>22</v>
      </c>
      <c r="E67" s="31" t="s">
        <v>23</v>
      </c>
      <c r="F67" s="198" t="s">
        <v>24</v>
      </c>
      <c r="H67" s="35"/>
    </row>
    <row r="68" spans="1:8" s="1" customFormat="1" ht="202.5" x14ac:dyDescent="0.25">
      <c r="A68" s="19" t="s">
        <v>534</v>
      </c>
      <c r="B68" s="18" t="str">
        <f>VLOOKUP($A68,Questions!$A$2:$X$333,2,0)</f>
        <v>Will data be collected from or processed in or stored in the European Economic Area (EEA)?</v>
      </c>
      <c r="C68" s="21" t="s">
        <v>26</v>
      </c>
      <c r="D68" s="312" t="s">
        <v>535</v>
      </c>
      <c r="E68" s="163" t="str">
        <f>IF($C68='Auto Responses'!$J$3,VLOOKUP($A68,Questions!$A$2:$X$333,17,0)&amp;"",IF($C68='Auto Responses'!$J$4,VLOOKUP($A68,Questions!$A$2:$X$333,16,0)&amp;"",VLOOKUP($A68,Questions!$A$2:$X$333,15,0)&amp;""))</f>
        <v>Describe where and what activities will take place in the EEA.</v>
      </c>
      <c r="F68" s="200" t="str">
        <f>VLOOKUP($A68,'Privacy Analyst Evaluation'!$A$46:$F$120,6,0)&amp;""</f>
        <v/>
      </c>
      <c r="H68" s="35"/>
    </row>
    <row r="69" spans="1:8" s="1" customFormat="1" ht="135" x14ac:dyDescent="0.25">
      <c r="A69" s="19" t="s">
        <v>536</v>
      </c>
      <c r="B69" s="18" t="str">
        <f>VLOOKUP($A69,Questions!$A$2:$X$333,2,0)</f>
        <v>Do you have a data protection officer (DPO)?</v>
      </c>
      <c r="C69" s="21" t="s">
        <v>26</v>
      </c>
      <c r="D69" s="367" t="s">
        <v>537</v>
      </c>
      <c r="E69" s="163" t="str">
        <f>IF($C69='Auto Responses'!$J$3,VLOOKUP($A69,Questions!$A$2:$X$333,17,0)&amp;"",IF($C69='Auto Responses'!$J$4,VLOOKUP($A69,Questions!$A$2:$X$333,16,0)&amp;"",VLOOKUP($A69,Questions!$A$2:$X$333,15,0)&amp;""))</f>
        <v>Provide the name and contact information for the DPO.</v>
      </c>
      <c r="F69" s="200" t="str">
        <f>VLOOKUP($A69,'Privacy Analyst Evaluation'!$A$46:$F$120,6,0)&amp;""</f>
        <v/>
      </c>
      <c r="H69" s="35"/>
    </row>
    <row r="70" spans="1:8" s="1" customFormat="1" ht="148.5" x14ac:dyDescent="0.25">
      <c r="A70" s="19" t="s">
        <v>538</v>
      </c>
      <c r="B70" s="18" t="str">
        <f>VLOOKUP($A70,Questions!$A$2:$X$333,2,0)</f>
        <v>Will you sign appropriate GDPR Standard Contractual Clauses (SCCs) with the institution?</v>
      </c>
      <c r="C70" s="21" t="s">
        <v>26</v>
      </c>
      <c r="D70" s="322" t="s">
        <v>539</v>
      </c>
      <c r="E70" s="163" t="str">
        <f>IF($C70='Auto Responses'!$J$3,VLOOKUP($A70,Questions!$A$2:$X$333,17,0)&amp;"",IF($C70='Auto Responses'!$J$4,VLOOKUP($A70,Questions!$A$2:$X$333,16,0)&amp;"",VLOOKUP($A70,Questions!$A$2:$X$333,15,0)&amp;""))</f>
        <v/>
      </c>
      <c r="F70" s="200" t="str">
        <f>VLOOKUP($A70,'Privacy Analyst Evaluation'!$A$46:$F$120,6,0)&amp;""</f>
        <v/>
      </c>
      <c r="H70" s="35"/>
    </row>
    <row r="71" spans="1:8" s="1" customFormat="1" ht="135" x14ac:dyDescent="0.25">
      <c r="A71" s="19" t="s">
        <v>540</v>
      </c>
      <c r="B71" s="18" t="str">
        <f>VLOOKUP($A71,Questions!$A$2:$X$333,2,0)</f>
        <v>Will data be collected from or processed in or stored in China?</v>
      </c>
      <c r="C71" s="21" t="s">
        <v>46</v>
      </c>
      <c r="D71" s="322" t="s">
        <v>541</v>
      </c>
      <c r="E71" s="163" t="str">
        <f>IF($C71='Auto Responses'!$J$3,VLOOKUP($A71,Questions!$A$2:$X$333,17,0)&amp;"",IF($C71='Auto Responses'!$J$4,VLOOKUP($A71,Questions!$A$2:$X$333,16,0)&amp;"",VLOOKUP($A71,Questions!$A$2:$X$333,15,0)&amp;""))</f>
        <v>See PIPL Chapter 1 for definitions.</v>
      </c>
      <c r="F71" s="200" t="str">
        <f>VLOOKUP($A71,'Privacy Analyst Evaluation'!$A$46:$F$120,6,0)&amp;""</f>
        <v/>
      </c>
      <c r="H71" s="35"/>
    </row>
    <row r="72" spans="1:8" s="1" customFormat="1" ht="144.75" customHeight="1" thickBot="1" x14ac:dyDescent="0.3">
      <c r="A72" s="19" t="s">
        <v>542</v>
      </c>
      <c r="B72" s="18" t="str">
        <f>VLOOKUP($A72,Questions!$A$2:$X$333,2,0)</f>
        <v>Do you comply with PIPL security, privacy, and data localization requirements?</v>
      </c>
      <c r="C72" s="21" t="s">
        <v>243</v>
      </c>
      <c r="D72" s="366" t="s">
        <v>543</v>
      </c>
      <c r="E72" s="163" t="str">
        <f>IF($C72='Auto Responses'!$J$3,VLOOKUP($A72,Questions!$A$2:$X$333,17,0)&amp;"",IF($C72='Auto Responses'!$J$4,VLOOKUP($A72,Questions!$A$2:$X$333,16,0)&amp;"",IF($C72='Auto Responses'!$J$5,VLOOKUP($A72,Questions!$A$2:$X$333,18,0)&amp;"",VLOOKUP($A72,Questions!$A$2:$X$333,15,0)&amp;"")))</f>
        <v>Please explain why this does not apply to your product or service.</v>
      </c>
      <c r="F72" s="200" t="str">
        <f>VLOOKUP($A72,'Privacy Analyst Evaluation'!$A$46:$F$120,6,0)&amp;""</f>
        <v/>
      </c>
      <c r="G72" s="234" t="s">
        <v>36</v>
      </c>
      <c r="H72" s="35"/>
    </row>
    <row r="73" spans="1:8" s="1" customFormat="1" ht="37.5" customHeight="1" thickBot="1" x14ac:dyDescent="0.3">
      <c r="A73" s="63" t="str">
        <f>VLOOKUP(LEFT($A74,4),'Auto Responses'!$N$4:$O$38,2,0)&amp;""</f>
        <v xml:space="preserve"> Data Privacy</v>
      </c>
      <c r="B73" s="22"/>
      <c r="C73" s="13" t="s">
        <v>21</v>
      </c>
      <c r="D73" s="13" t="s">
        <v>22</v>
      </c>
      <c r="E73" s="31" t="s">
        <v>23</v>
      </c>
      <c r="F73" s="198" t="s">
        <v>24</v>
      </c>
      <c r="H73" s="35"/>
    </row>
    <row r="74" spans="1:8" s="1" customFormat="1" ht="254.25" customHeight="1" x14ac:dyDescent="0.25">
      <c r="A74" s="19" t="s">
        <v>544</v>
      </c>
      <c r="B74" s="18" t="str">
        <f>VLOOKUP($A74,Questions!$A$2:$X$333,2,0)</f>
        <v>Have you performed a Data Privacy Impact Assessment for the solution/project?</v>
      </c>
      <c r="C74" s="21" t="s">
        <v>26</v>
      </c>
      <c r="D74" s="366" t="s">
        <v>545</v>
      </c>
      <c r="E74" s="163" t="str">
        <f>IF($C74='Auto Responses'!$J$3,VLOOKUP($A74,Questions!$A$2:$X$333,17,0)&amp;"",IF($C74='Auto Responses'!$J$4,VLOOKUP($A74,Questions!$A$2:$X$333,16,0)&amp;"",VLOOKUP($A74,Questions!$A$2:$X$333,15,0)&amp;""))</f>
        <v>Provide copy, link, or summary overview.</v>
      </c>
      <c r="F74" s="200" t="str">
        <f>VLOOKUP($A74,'Privacy Analyst Evaluation'!$A$46:$F$120,6,0)&amp;""</f>
        <v/>
      </c>
      <c r="H74" s="35"/>
    </row>
    <row r="75" spans="1:8" s="1" customFormat="1" ht="216.75" customHeight="1" x14ac:dyDescent="0.25">
      <c r="A75" s="19" t="s">
        <v>546</v>
      </c>
      <c r="B75" s="18" t="str">
        <f>VLOOKUP($A75,Questions!$A$2:$X$333,2,0)</f>
        <v>Do you provide an end-user privacy notice about privacy policies and procedures that identify the purpose(s) for which personal information is collected, used, retained, and disclosed?</v>
      </c>
      <c r="C75" s="21" t="s">
        <v>26</v>
      </c>
      <c r="D75" s="366" t="s">
        <v>547</v>
      </c>
      <c r="E75" s="163" t="str">
        <f>IF($C75='Auto Responses'!$J$3,VLOOKUP($A75,Questions!$A$2:$X$333,17,0)&amp;"",IF($C75='Auto Responses'!$J$4,VLOOKUP($A75,Questions!$A$2:$X$333,16,0)&amp;"",VLOOKUP($A75,Questions!$A$2:$X$333,15,0)&amp;""))</f>
        <v>Provide link or copy.</v>
      </c>
      <c r="F75" s="200" t="str">
        <f>VLOOKUP($A75,'Privacy Analyst Evaluation'!$A$46:$F$120,6,0)&amp;""</f>
        <v/>
      </c>
      <c r="H75" s="35"/>
    </row>
    <row r="76" spans="1:8" s="1" customFormat="1" ht="234" customHeight="1" x14ac:dyDescent="0.25">
      <c r="A76" s="19" t="s">
        <v>548</v>
      </c>
      <c r="B76" s="18" t="str">
        <f>VLOOKUP($A76,Questions!$A$2:$X$333,2,0)</f>
        <v>Do you describe the choices available to the individual and obtain implicit or explicit consent with respect to the collection, use, and disclosure of personal information?</v>
      </c>
      <c r="C76" s="21" t="s">
        <v>26</v>
      </c>
      <c r="D76" s="366" t="s">
        <v>549</v>
      </c>
      <c r="E76" s="163" t="str">
        <f>IF($C76='Auto Responses'!$J$3,VLOOKUP($A76,Questions!$A$2:$X$333,17,0)&amp;"",IF($C76='Auto Responses'!$J$4,VLOOKUP($A76,Questions!$A$2:$X$333,16,0)&amp;"",IF($C76='Auto Responses'!$J$5,VLOOKUP($A76,Questions!$A$2:$X$333,18,0)&amp;"",VLOOKUP($A76,Questions!$A$2:$X$333,15,0)&amp;"")))</f>
        <v>Provide copy, link, or summary overview.</v>
      </c>
      <c r="F76" s="200" t="str">
        <f>VLOOKUP($A76,'Privacy Analyst Evaluation'!$A$46:$F$120,6,0)&amp;""</f>
        <v/>
      </c>
      <c r="H76" s="35"/>
    </row>
    <row r="77" spans="1:8" s="1" customFormat="1" ht="197.25" customHeight="1" x14ac:dyDescent="0.25">
      <c r="A77" s="19" t="s">
        <v>550</v>
      </c>
      <c r="B77" s="18" t="str">
        <f>VLOOKUP($A77,Questions!$A$2:$X$333,2,0)</f>
        <v>Do you collect personal information only for the purpose(s) identified in the agreement with an institution or, if there is none, the purpose(s) identified in the privacy notice?</v>
      </c>
      <c r="C77" s="21" t="s">
        <v>26</v>
      </c>
      <c r="D77" s="366" t="s">
        <v>551</v>
      </c>
      <c r="E77" s="163" t="str">
        <f>IF($C77='Auto Responses'!$J$3,VLOOKUP($A77,Questions!$A$2:$X$333,17,0)&amp;"",IF($C77='Auto Responses'!$J$4,VLOOKUP($A77,Questions!$A$2:$X$333,16,0)&amp;"",IF($C77='Auto Responses'!$J$5,VLOOKUP($A77,Questions!$A$2:$X$333,18,0)&amp;"",VLOOKUP($A77,Questions!$A$2:$X$333,15,0)&amp;"")))</f>
        <v>Describe purposes not included in an agreement with the institution.</v>
      </c>
      <c r="F77" s="200" t="str">
        <f>VLOOKUP($A77,'Privacy Analyst Evaluation'!$A$46:$F$120,6,0)&amp;""</f>
        <v/>
      </c>
      <c r="H77" s="35"/>
    </row>
    <row r="78" spans="1:8" s="1" customFormat="1" ht="197.25" customHeight="1" x14ac:dyDescent="0.25">
      <c r="A78" s="19" t="s">
        <v>552</v>
      </c>
      <c r="B78" s="18" t="str">
        <f>VLOOKUP($A78,Questions!$A$2:$X$333,2,0)</f>
        <v>Do you have a documented list of personal data your service maintains?</v>
      </c>
      <c r="C78" s="21" t="s">
        <v>26</v>
      </c>
      <c r="D78" s="366" t="s">
        <v>553</v>
      </c>
      <c r="E78" s="163" t="str">
        <f>IF($C78='Auto Responses'!$J$3,VLOOKUP($A78,Questions!$A$2:$X$333,17,0)&amp;"",IF($C78='Auto Responses'!$J$4,VLOOKUP($A78,Questions!$A$2:$X$333,16,0)&amp;"",IF($C78='Auto Responses'!$J$5,VLOOKUP($A78,Questions!$A$2:$X$333,18,0)&amp;"",VLOOKUP($A78,Questions!$A$2:$X$333,15,0)&amp;"")))</f>
        <v>Provide copy, link, or summary overview.</v>
      </c>
      <c r="F78" s="200" t="str">
        <f>VLOOKUP($A78,'Privacy Analyst Evaluation'!$A$46:$F$120,6,0)&amp;""</f>
        <v/>
      </c>
      <c r="H78" s="35"/>
    </row>
    <row r="79" spans="1:8" s="1" customFormat="1" ht="310.5" x14ac:dyDescent="0.25">
      <c r="A79" s="19" t="s">
        <v>554</v>
      </c>
      <c r="B79" s="18" t="str">
        <f>VLOOKUP($A79,Questions!$A$2:$X$333,2,0)</f>
        <v>Do you retain personal information for only as long as necessary to fulfill the stated purpose(s) or as required by law or regulation and thereafter appropriately dispose of such information?</v>
      </c>
      <c r="C79" s="21" t="s">
        <v>26</v>
      </c>
      <c r="D79" s="322" t="s">
        <v>555</v>
      </c>
      <c r="E79" s="163" t="str">
        <f>IF($C79='Auto Responses'!$J$3,VLOOKUP($A79,Questions!$A$2:$X$333,17,0)&amp;"",IF($C79='Auto Responses'!$J$4,VLOOKUP($A79,Questions!$A$2:$X$333,16,0)&amp;"",IF($C79='Auto Responses'!$J$5,VLOOKUP($A79,Questions!$A$2:$X$333,18,0)&amp;"",VLOOKUP($A79,Questions!$A$2:$X$333,15,0)&amp;"")))</f>
        <v/>
      </c>
      <c r="F79" s="200" t="str">
        <f>VLOOKUP($A79,'Privacy Analyst Evaluation'!$A$46:$F$120,6,0)&amp;""</f>
        <v/>
      </c>
      <c r="H79" s="35"/>
    </row>
    <row r="80" spans="1:8" s="1" customFormat="1" ht="202.5" x14ac:dyDescent="0.25">
      <c r="A80" s="19" t="s">
        <v>556</v>
      </c>
      <c r="B80" s="18" t="str">
        <f>VLOOKUP($A80,Questions!$A$2:$X$333,2,0)</f>
        <v>Do you provide individuals with access to their personal information for review and update (i.e., data subject rights)?</v>
      </c>
      <c r="C80" s="21" t="s">
        <v>26</v>
      </c>
      <c r="D80" s="322" t="s">
        <v>557</v>
      </c>
      <c r="E80" s="163" t="str">
        <f>IF($C80='Auto Responses'!$J$3,VLOOKUP($A80,Questions!$A$2:$X$333,17,0)&amp;"",IF($C80='Auto Responses'!$J$4,VLOOKUP($A80,Questions!$A$2:$X$333,16,0)&amp;"",IF($C80='Auto Responses'!$J$5,VLOOKUP($A80,Questions!$A$2:$X$333,18,0)&amp;"",VLOOKUP($A80,Questions!$A$2:$X$333,15,0)&amp;"")))</f>
        <v>Such processes would include descriptions of request processes individuals can follow to review their information and written processes a data subject may use to ask for changes or corrections to data held about them.</v>
      </c>
      <c r="F80" s="200" t="str">
        <f>VLOOKUP($A80,'Privacy Analyst Evaluation'!$A$46:$F$120,6,0)&amp;""</f>
        <v/>
      </c>
      <c r="H80" s="35"/>
    </row>
    <row r="81" spans="1:8" s="1" customFormat="1" ht="270" x14ac:dyDescent="0.25">
      <c r="A81" s="19" t="s">
        <v>558</v>
      </c>
      <c r="B81" s="18" t="str">
        <f>VLOOKUP($A81,Questions!$A$2:$X$333,2,0)</f>
        <v>Do you disclose personal information to third parties only for the purpose(s) identified in the privacy notice or with the implicit or explicit consent of the individual?</v>
      </c>
      <c r="C81" s="21" t="s">
        <v>26</v>
      </c>
      <c r="D81" s="322" t="s">
        <v>559</v>
      </c>
      <c r="E81" s="163" t="str">
        <f>IF($C81='Auto Responses'!$J$3,VLOOKUP($A81,Questions!$A$2:$X$333,17,0)&amp;"",IF($C81='Auto Responses'!$J$4,VLOOKUP($A81,Questions!$A$2:$X$333,16,0)&amp;"",IF($C81='Auto Responses'!$J$5,VLOOKUP($A81,Questions!$A$2:$X$333,18,0)&amp;"",VLOOKUP($A81,Questions!$A$2:$X$333,15,0)&amp;"")))</f>
        <v/>
      </c>
      <c r="F81" s="200" t="str">
        <f>VLOOKUP($A81,'Privacy Analyst Evaluation'!$A$46:$F$120,6,0)&amp;""</f>
        <v/>
      </c>
      <c r="H81" s="35"/>
    </row>
    <row r="82" spans="1:8" s="1" customFormat="1" ht="405" x14ac:dyDescent="0.25">
      <c r="A82" s="19" t="s">
        <v>560</v>
      </c>
      <c r="B82" s="18" t="str">
        <f>VLOOKUP($A82,Questions!$A$2:$X$333,2,0)</f>
        <v>Do you protect personal information against unauthorized access (both physical and logical)?</v>
      </c>
      <c r="C82" s="21" t="s">
        <v>26</v>
      </c>
      <c r="D82" s="322" t="s">
        <v>561</v>
      </c>
      <c r="E82" s="163" t="str">
        <f>IF($C82='Auto Responses'!$J$3,VLOOKUP($A82,Questions!$A$2:$X$333,17,0)&amp;"",IF($C82='Auto Responses'!$J$4,VLOOKUP($A82,Questions!$A$2:$X$333,16,0)&amp;"",IF($C82='Auto Responses'!$J$5,VLOOKUP($A82,Questions!$A$2:$X$333,18,0)&amp;"",VLOOKUP($A82,Questions!$A$2:$X$333,15,0)&amp;"")))</f>
        <v/>
      </c>
      <c r="F82" s="200" t="str">
        <f>VLOOKUP($A82,'Privacy Analyst Evaluation'!$A$46:$F$120,6,0)&amp;""</f>
        <v/>
      </c>
      <c r="H82" s="35"/>
    </row>
    <row r="83" spans="1:8" s="1" customFormat="1" ht="243" x14ac:dyDescent="0.25">
      <c r="A83" s="19" t="s">
        <v>562</v>
      </c>
      <c r="B83" s="18" t="str">
        <f>VLOOKUP($A83,Questions!$A$2:$X$333,2,0)</f>
        <v>Do you maintain accurate, complete, and relevant personal information for the purposes identified in the privacy notice?</v>
      </c>
      <c r="C83" s="21" t="s">
        <v>26</v>
      </c>
      <c r="D83" s="322" t="s">
        <v>563</v>
      </c>
      <c r="E83" s="163" t="str">
        <f>IF($C83='Auto Responses'!$J$3,VLOOKUP($A83,Questions!$A$2:$X$333,17,0)&amp;"",IF($C83='Auto Responses'!$J$4,VLOOKUP($A83,Questions!$A$2:$X$333,16,0)&amp;"",IF($C83='Auto Responses'!$J$5,VLOOKUP($A83,Questions!$A$2:$X$333,18,0)&amp;"",VLOOKUP($A83,Questions!$A$2:$X$333,15,0)&amp;"")))</f>
        <v/>
      </c>
      <c r="F83" s="200" t="str">
        <f>VLOOKUP($A83,'Privacy Analyst Evaluation'!$A$46:$F$120,6,0)&amp;""</f>
        <v/>
      </c>
      <c r="H83" s="35"/>
    </row>
    <row r="84" spans="1:8" s="1" customFormat="1" ht="286.5" customHeight="1" x14ac:dyDescent="0.25">
      <c r="A84" s="19" t="s">
        <v>564</v>
      </c>
      <c r="B84" s="18" t="str">
        <f>VLOOKUP($A84,Questions!$A$2:$X$333,2,0)</f>
        <v>Do you have procedures to address privacy-related noncompliance complaints and disputes?</v>
      </c>
      <c r="C84" s="21" t="s">
        <v>26</v>
      </c>
      <c r="D84" s="366" t="s">
        <v>565</v>
      </c>
      <c r="E84" s="163" t="str">
        <f>IF($C84='Auto Responses'!$J$3,VLOOKUP($A84,Questions!$A$2:$X$333,17,0)&amp;"",IF($C84='Auto Responses'!$J$4,VLOOKUP($A84,Questions!$A$2:$X$333,16,0)&amp;"",IF($C84='Auto Responses'!$J$5,VLOOKUP($A84,Questions!$A$2:$X$333,18,0)&amp;"",VLOOKUP($A84,Questions!$A$2:$X$333,15,0)&amp;"")))</f>
        <v>Provide a brief overview of processes or procedures to handle privacy-related complaints.</v>
      </c>
      <c r="F84" s="200" t="str">
        <f>VLOOKUP($A84,'Privacy Analyst Evaluation'!$A$46:$F$120,6,0)&amp;""</f>
        <v/>
      </c>
      <c r="H84" s="35"/>
    </row>
    <row r="85" spans="1:8" s="1" customFormat="1" ht="235.5" customHeight="1" x14ac:dyDescent="0.25">
      <c r="A85" s="19" t="s">
        <v>566</v>
      </c>
      <c r="B85" s="18" t="str">
        <f>VLOOKUP($A85,Questions!$A$2:$X$333,2,0)</f>
        <v>Do you "anonymize," "de-identify," or otherwise mask personal data?</v>
      </c>
      <c r="C85" s="21" t="s">
        <v>46</v>
      </c>
      <c r="D85" s="366" t="s">
        <v>567</v>
      </c>
      <c r="E85" s="163" t="str">
        <f>IF($C85='Auto Responses'!$J$3,VLOOKUP($A85,Questions!$A$2:$X$333,17,0)&amp;"",IF($C85='Auto Responses'!$J$4,VLOOKUP($A85,Questions!$A$2:$X$333,16,0)&amp;"",IF($C85='Auto Responses'!$J$5,VLOOKUP($A85,Questions!$A$2:$X$333,18,0)&amp;"",VLOOKUP($A85,Questions!$A$2:$X$333,15,0)&amp;"")))</f>
        <v/>
      </c>
      <c r="F85" s="200" t="str">
        <f>VLOOKUP($A85,'Privacy Analyst Evaluation'!$A$46:$F$120,6,0)&amp;""</f>
        <v/>
      </c>
      <c r="H85" s="35"/>
    </row>
    <row r="86" spans="1:8" s="1" customFormat="1" ht="162" x14ac:dyDescent="0.25">
      <c r="A86" s="19" t="s">
        <v>568</v>
      </c>
      <c r="B86" s="18" t="str">
        <f>VLOOKUP($A86,Questions!$A$2:$X$333,2,0)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86" s="21" t="s">
        <v>46</v>
      </c>
      <c r="D86" s="322" t="s">
        <v>569</v>
      </c>
      <c r="E86" s="163" t="str">
        <f>IF($C86='Auto Responses'!$J$3,VLOOKUP($A86,Questions!$A$2:$X$333,17,0)&amp;"",IF($C86='Auto Responses'!$J$4,VLOOKUP($A86,Questions!$A$2:$X$333,16,0)&amp;"",IF($C86='Auto Responses'!$J$5,VLOOKUP($A86,Questions!$A$2:$X$333,18,0)&amp;"",VLOOKUP($A86,Questions!$A$2:$X$333,15,0)&amp;"")))</f>
        <v/>
      </c>
      <c r="F86" s="200" t="str">
        <f>VLOOKUP($A86,'Privacy Analyst Evaluation'!$A$46:$F$120,6,0)&amp;""</f>
        <v/>
      </c>
      <c r="H86" s="35"/>
    </row>
    <row r="87" spans="1:8" s="1" customFormat="1" ht="324.75" customHeight="1" x14ac:dyDescent="0.25">
      <c r="A87" s="19" t="s">
        <v>570</v>
      </c>
      <c r="B87" s="18" t="str">
        <f>VLOOKUP($A87,Questions!$A$2:$X$333,2,0)</f>
        <v>Do you certify stop-processing requests, including any data that is processed by a third party on your behalf?</v>
      </c>
      <c r="C87" s="359" t="s">
        <v>26</v>
      </c>
      <c r="D87" s="366" t="s">
        <v>571</v>
      </c>
      <c r="E87" s="163" t="str">
        <f>IF($C87='Auto Responses'!$J$3,VLOOKUP($A87,Questions!$A$2:$X$333,17,0)&amp;"",IF($C87='Auto Responses'!$J$4,VLOOKUP($A87,Questions!$A$2:$X$333,16,0)&amp;"",IF($C87='Auto Responses'!$J$5,VLOOKUP($A87,Questions!$A$2:$X$333,18,0)&amp;"",VLOOKUP($A87,Questions!$A$2:$X$333,15,0)&amp;"")))</f>
        <v>Briefly outline relevant processes.</v>
      </c>
      <c r="F87" s="200" t="str">
        <f>VLOOKUP($A87,'Privacy Analyst Evaluation'!$A$46:$F$120,6,0)&amp;""</f>
        <v/>
      </c>
      <c r="H87" s="35"/>
    </row>
    <row r="88" spans="1:8" s="1" customFormat="1" ht="298.5" customHeight="1" thickBot="1" x14ac:dyDescent="0.3">
      <c r="A88" s="19" t="s">
        <v>572</v>
      </c>
      <c r="B88" s="18" t="str">
        <f>VLOOKUP($A88,Questions!$A$2:$X$333,2,0)</f>
        <v>Do you have a process to review code for ethical considerations?</v>
      </c>
      <c r="C88" s="21" t="s">
        <v>26</v>
      </c>
      <c r="D88" s="366" t="s">
        <v>573</v>
      </c>
      <c r="E88" s="163" t="str">
        <f>IF($C88='Auto Responses'!$J$3,VLOOKUP($A88,Questions!$A$2:$X$333,17,0)&amp;"",IF($C88='Auto Responses'!$J$4,VLOOKUP($A88,Questions!$A$2:$X$333,16,0)&amp;"",VLOOKUP($A88,Questions!$A$2:$X$333,15,0)&amp;""))</f>
        <v>Provide documentation or explanation of the process to review code. If none exists, explain why.</v>
      </c>
      <c r="F88" s="200" t="str">
        <f>VLOOKUP($A88,'Privacy Analyst Evaluation'!$A$46:$F$120,6,0)&amp;""</f>
        <v/>
      </c>
      <c r="G88" s="234" t="s">
        <v>36</v>
      </c>
      <c r="H88" s="35"/>
    </row>
    <row r="89" spans="1:8" s="1" customFormat="1" ht="37.5" customHeight="1" thickBot="1" x14ac:dyDescent="0.3">
      <c r="A89" s="63" t="str">
        <f>VLOOKUP(LEFT($A90,4),'Auto Responses'!$N$4:$O$38,2,0)&amp;""</f>
        <v xml:space="preserve"> Privacy and AI</v>
      </c>
      <c r="B89" s="22"/>
      <c r="C89" s="13" t="s">
        <v>21</v>
      </c>
      <c r="D89" s="13" t="s">
        <v>22</v>
      </c>
      <c r="E89" s="31" t="s">
        <v>23</v>
      </c>
      <c r="F89" s="198" t="s">
        <v>24</v>
      </c>
      <c r="H89" s="35"/>
    </row>
    <row r="90" spans="1:8" s="1" customFormat="1" ht="216" x14ac:dyDescent="0.25">
      <c r="A90" s="19" t="s">
        <v>574</v>
      </c>
      <c r="B90" s="18" t="str">
        <f>VLOOKUP($A90,Questions!$A$2:$X$333,2,0)</f>
        <v>Does your service use AI for the processing of institutional data?</v>
      </c>
      <c r="C90" s="21" t="s">
        <v>26</v>
      </c>
      <c r="D90" s="312" t="s">
        <v>2154</v>
      </c>
      <c r="E90" s="163" t="str">
        <f>IF($C$19='Auto Responses'!$J$4,'Auto Responses'!$A$6,IF($C90='Auto Responses'!$J$3,VLOOKUP($A90,Questions!$A$2:$X$333,17,0)&amp;"",IF($C90='Auto Responses'!$J$4,VLOOKUP($A90,Questions!$A$2:$X$333,16,0)&amp;"",IF($C90='Auto Responses'!$J$5,VLOOKUP($A90,Questions!$A$2:$X$333,18,0)&amp;"",VLOOKUP($A90,Questions!$A$2:$X$333,15,0)&amp;""))))</f>
        <v>Describe how your service uses AI to process institutional data. Include the types of data involved, the purpose of AI usage, and any decision-making roles AI plays.</v>
      </c>
      <c r="F90" s="200" t="str">
        <f>VLOOKUP($A90,'Privacy Analyst Evaluation'!$A$46:$F$120,6,0)&amp;""</f>
        <v/>
      </c>
      <c r="H90" s="35"/>
    </row>
    <row r="91" spans="1:8" s="1" customFormat="1" ht="189" x14ac:dyDescent="0.25">
      <c r="A91" s="19" t="s">
        <v>575</v>
      </c>
      <c r="B91" s="18" t="str">
        <f>VLOOKUP($A91,Questions!$A$2:$X$333,2,0)</f>
        <v>Is any institutional data retained in AI processing?*</v>
      </c>
      <c r="C91" s="21" t="s">
        <v>46</v>
      </c>
      <c r="D91" s="322" t="s">
        <v>576</v>
      </c>
      <c r="E91" s="163" t="str">
        <f>IF($C$19='Auto Responses'!$J$4,'Auto Responses'!$A$6,IF($C91='Auto Responses'!$J$3,VLOOKUP($A91,Questions!$A$2:$X$333,17,0)&amp;"",IF($C91='Auto Responses'!$J$4,VLOOKUP($A91,Questions!$A$2:$X$333,16,0)&amp;"",IF($C91='Auto Responses'!$J$5,VLOOKUP($A91,Questions!$A$2:$X$333,18,0)&amp;"",VLOOKUP($A91,Questions!$A$2:$X$333,15,0)&amp;""))))</f>
        <v>Evaluate the vendor's data retention practices for compliance with institutional policies. Request clarification on retention periods and data security if needed.</v>
      </c>
      <c r="F91" s="200" t="str">
        <f>VLOOKUP($A91,'Privacy Analyst Evaluation'!$A$46:$F$120,6,0)&amp;""</f>
        <v/>
      </c>
      <c r="H91" s="35"/>
    </row>
    <row r="92" spans="1:8" s="1" customFormat="1" ht="238.5" customHeight="1" x14ac:dyDescent="0.25">
      <c r="A92" s="19" t="s">
        <v>577</v>
      </c>
      <c r="B92" s="18" t="str">
        <f>VLOOKUP($A92,Questions!$A$2:$X$333,2,0)</f>
        <v>Do you have agreements in place with third parties or subprocessors regarding the protection of customer data and use of AI?*</v>
      </c>
      <c r="C92" s="21" t="s">
        <v>26</v>
      </c>
      <c r="D92" s="366" t="s">
        <v>578</v>
      </c>
      <c r="E92" s="163" t="str">
        <f>IF($C$19='Auto Responses'!$J$4,'Auto Responses'!$A$6,IF($C92='Auto Responses'!$J$3,VLOOKUP($A92,Questions!$A$2:$X$333,17,0)&amp;"",IF($C92='Auto Responses'!$J$4,VLOOKUP($A92,Questions!$A$2:$X$333,16,0)&amp;"",IF($C92='Auto Responses'!$J$5,VLOOKUP($A92,Questions!$A$2:$X$333,18,0)&amp;"",VLOOKUP($A92,Questions!$A$2:$X$333,15,0)&amp;""))))</f>
        <v>List all subprocessors and describe the agreements in place regarding AI and data protection.</v>
      </c>
      <c r="F92" s="200" t="str">
        <f>VLOOKUP($A92,'Privacy Analyst Evaluation'!$A$46:$F$120,6,0)&amp;""</f>
        <v/>
      </c>
      <c r="H92" s="35"/>
    </row>
    <row r="93" spans="1:8" s="1" customFormat="1" ht="175.5" x14ac:dyDescent="0.25">
      <c r="A93" s="19" t="s">
        <v>579</v>
      </c>
      <c r="B93" s="18" t="str">
        <f>VLOOKUP($A93,Questions!$A$2:$X$333,2,0)</f>
        <v>Will institutional data be processed through a third party or subprocessor that also uses AI?</v>
      </c>
      <c r="C93" s="21" t="s">
        <v>26</v>
      </c>
      <c r="D93" s="312" t="s">
        <v>580</v>
      </c>
      <c r="E93" s="163" t="str">
        <f>IF($C$19='Auto Responses'!$J$4,'Auto Responses'!$A$6,IF($C93='Auto Responses'!$J$3,VLOOKUP($A93,Questions!$A$2:$X$333,17,0)&amp;"",IF($C93='Auto Responses'!$J$4,VLOOKUP($A93,Questions!$A$2:$X$333,16,0)&amp;"",IF($C93='Auto Responses'!$J$5,VLOOKUP($A93,Questions!$A$2:$X$333,18,0)&amp;"",VLOOKUP($A93,Questions!$A$2:$X$333,15,0)&amp;""))))</f>
        <v>Identify third-party AI processors and describe their role and safeguards.</v>
      </c>
      <c r="F93" s="200" t="str">
        <f>VLOOKUP($A93,'Privacy Analyst Evaluation'!$A$46:$F$120,6,0)&amp;""</f>
        <v/>
      </c>
      <c r="H93" s="35"/>
    </row>
    <row r="94" spans="1:8" s="1" customFormat="1" ht="189" x14ac:dyDescent="0.25">
      <c r="A94" s="19" t="s">
        <v>581</v>
      </c>
      <c r="B94" s="18" t="str">
        <f>VLOOKUP($A94,Questions!$A$2:$X$333,2,0)</f>
        <v>Is AI processing limited to fully licensed commercial enterprise AI services?</v>
      </c>
      <c r="C94" s="21" t="s">
        <v>46</v>
      </c>
      <c r="D94" s="312" t="s">
        <v>582</v>
      </c>
      <c r="E94" s="163" t="str">
        <f>IF($C$19='Auto Responses'!$J$4,'Auto Responses'!$A$6,IF($C94='Auto Responses'!$J$3,VLOOKUP($A94,Questions!$A$2:$X$333,17,0)&amp;"",IF($C94='Auto Responses'!$J$4,VLOOKUP($A94,Questions!$A$2:$X$333,16,0)&amp;"",IF($C94='Auto Responses'!$J$5,VLOOKUP($A94,Questions!$A$2:$X$333,18,0)&amp;"",VLOOKUP($A94,Questions!$A$2:$X$333,15,0)&amp;""))))</f>
        <v>Provide names of services used and license types. Note whether open-source or experimental tools are used.</v>
      </c>
      <c r="F94" s="200" t="str">
        <f>VLOOKUP($A94,'Privacy Analyst Evaluation'!$A$46:$F$120,6,0)&amp;""</f>
        <v/>
      </c>
      <c r="H94" s="35"/>
    </row>
    <row r="95" spans="1:8" s="1" customFormat="1" ht="175.5" x14ac:dyDescent="0.25">
      <c r="A95" s="19" t="s">
        <v>583</v>
      </c>
      <c r="B95" s="18" t="str">
        <f>VLOOKUP($A95,Questions!$A$2:$X$333,2,0)</f>
        <v>Will institutional data be used or processed by any shared AI services?</v>
      </c>
      <c r="C95" s="21" t="s">
        <v>46</v>
      </c>
      <c r="D95" s="322" t="s">
        <v>584</v>
      </c>
      <c r="E95" s="163" t="str">
        <f>IF($C$19='Auto Responses'!$J$4,'Auto Responses'!$A$6,IF($C95='Auto Responses'!$J$3,VLOOKUP($A95,Questions!$A$2:$X$333,17,0)&amp;"",IF($C95='Auto Responses'!$J$4,VLOOKUP($A95,Questions!$A$2:$X$333,16,0)&amp;"",IF($C95='Auto Responses'!$J$5,VLOOKUP($A95,Questions!$A$2:$X$333,18,0)&amp;"",VLOOKUP($A95,Questions!$A$2:$X$333,15,0)&amp;""))))</f>
        <v>Provide detailed response to the type of data needed for the AI service to function appropriately, the sources of the data, and whether any data shared with the AI service comes from data sources outside the institution.</v>
      </c>
      <c r="F95" s="200" t="str">
        <f>VLOOKUP($A95,'Privacy Analyst Evaluation'!$A$46:$F$120,6,0)&amp;""</f>
        <v/>
      </c>
      <c r="H95" s="35"/>
    </row>
    <row r="96" spans="1:8" s="1" customFormat="1" ht="252.75" customHeight="1" x14ac:dyDescent="0.25">
      <c r="A96" s="19" t="s">
        <v>585</v>
      </c>
      <c r="B96" s="18" t="str">
        <f>VLOOKUP($A96,Questions!$A$2:$X$333,2,0)</f>
        <v>Do you have safeguards in place to protect institutional data and data privacy from unintended AI queries or processing?</v>
      </c>
      <c r="C96" s="21" t="s">
        <v>26</v>
      </c>
      <c r="D96" s="366" t="s">
        <v>586</v>
      </c>
      <c r="E96" s="163" t="str">
        <f>IF($C$19='Auto Responses'!$J$4,'Auto Responses'!$A$6,IF($C96='Auto Responses'!$J$3,VLOOKUP($A96,Questions!$A$2:$X$333,17,0)&amp;"",IF($C96='Auto Responses'!$J$4,VLOOKUP($A96,Questions!$A$2:$X$333,16,0)&amp;"",IF($C96='Auto Responses'!$J$5,VLOOKUP($A96,Questions!$A$2:$X$333,18,0)&amp;"",VLOOKUP($A96,Questions!$A$2:$X$333,15,0)&amp;""))))</f>
        <v>Explain any data minimization processes used to exclude institutional data from AI algorithm or training, etc.</v>
      </c>
      <c r="F96" s="200" t="str">
        <f>VLOOKUP($A96,'Privacy Analyst Evaluation'!$A$46:$F$120,6,0)&amp;""</f>
        <v/>
      </c>
      <c r="H96" s="35"/>
    </row>
    <row r="97" spans="1:11" s="1" customFormat="1" ht="81" x14ac:dyDescent="0.25">
      <c r="A97" s="19" t="s">
        <v>587</v>
      </c>
      <c r="B97" s="18" t="str">
        <f>VLOOKUP($A97,Questions!$A$2:$X$333,2,0)</f>
        <v>Do you provide choice to the user to opt out of AI use?</v>
      </c>
      <c r="C97" s="21" t="s">
        <v>26</v>
      </c>
      <c r="D97" s="312" t="s">
        <v>588</v>
      </c>
      <c r="E97" s="163" t="str">
        <f>IF($C$19='Auto Responses'!$J$4,'Auto Responses'!$A$6,IF($C97='Auto Responses'!$J$3,VLOOKUP($A97,Questions!$A$2:$X$333,17,0)&amp;"",IF($C97='Auto Responses'!$J$4,VLOOKUP($A97,Questions!$A$2:$X$333,16,0)&amp;"",IF($C97='Auto Responses'!$J$5,VLOOKUP($A97,Questions!$A$2:$X$333,18,0)&amp;"",VLOOKUP($A97,Questions!$A$2:$X$333,15,0)&amp;""))))</f>
        <v>Provide the language used for a user to opt-out or consent to the use of AI</v>
      </c>
      <c r="F97" s="200" t="str">
        <f>VLOOKUP($A97,'Privacy Analyst Evaluation'!$A$46:$F$120,6,0)&amp;""</f>
        <v/>
      </c>
      <c r="G97" s="234" t="s">
        <v>36</v>
      </c>
      <c r="H97" s="35"/>
    </row>
    <row r="98" spans="1:11" s="1" customFormat="1" ht="44.25" customHeight="1" x14ac:dyDescent="0.25">
      <c r="A98" s="263" t="s">
        <v>54</v>
      </c>
      <c r="C98" s="8"/>
      <c r="D98" s="9"/>
      <c r="E98" s="40"/>
      <c r="F98" s="192"/>
      <c r="H98" s="35"/>
    </row>
    <row r="99" spans="1:11" s="1" customFormat="1" ht="15" hidden="1" customHeight="1" x14ac:dyDescent="0.25">
      <c r="A99"/>
      <c r="C99" s="8"/>
      <c r="D99" s="9"/>
      <c r="E99" s="40"/>
      <c r="F99" s="192"/>
      <c r="H99" s="35"/>
    </row>
    <row r="100" spans="1:11" ht="15" hidden="1" customHeight="1" x14ac:dyDescent="0.25">
      <c r="A100" s="1"/>
      <c r="B100" s="8"/>
      <c r="C100" s="71"/>
      <c r="D100" s="10"/>
      <c r="E100" s="41"/>
      <c r="G100" s="35"/>
      <c r="H100" s="1"/>
      <c r="K100"/>
    </row>
    <row r="101" spans="1:11" ht="0" hidden="1" customHeight="1" x14ac:dyDescent="0.25">
      <c r="A101" s="19" t="e">
        <f>#REF!</f>
        <v>#REF!</v>
      </c>
    </row>
    <row r="102" spans="1:11" s="1" customFormat="1" ht="0" hidden="1" customHeight="1" x14ac:dyDescent="0.25">
      <c r="A102" s="19" t="e">
        <f>#REF!</f>
        <v>#REF!</v>
      </c>
      <c r="C102" s="8"/>
      <c r="D102" s="9"/>
      <c r="E102" s="40"/>
      <c r="F102" s="192"/>
      <c r="H102" s="35"/>
    </row>
    <row r="103" spans="1:11" s="1" customFormat="1" ht="0" hidden="1" customHeight="1" x14ac:dyDescent="0.25">
      <c r="A103" s="19" t="e">
        <f>#REF!</f>
        <v>#REF!</v>
      </c>
      <c r="C103" s="8"/>
      <c r="D103" s="9"/>
      <c r="E103" s="40"/>
      <c r="F103" s="192"/>
      <c r="H103" s="35"/>
    </row>
    <row r="104" spans="1:11" s="1" customFormat="1" ht="0" hidden="1" customHeight="1" x14ac:dyDescent="0.25">
      <c r="A104" s="19" t="e">
        <f>#REF!</f>
        <v>#REF!</v>
      </c>
      <c r="C104" s="8"/>
      <c r="D104" s="9"/>
      <c r="E104" s="40"/>
      <c r="F104" s="192"/>
      <c r="H104" s="35"/>
    </row>
    <row r="105" spans="1:11" s="1" customFormat="1" ht="0" hidden="1" customHeight="1" x14ac:dyDescent="0.25">
      <c r="A105" s="19" t="e">
        <f>#REF!</f>
        <v>#REF!</v>
      </c>
      <c r="C105" s="8"/>
      <c r="D105" s="9"/>
      <c r="E105" s="40"/>
      <c r="F105" s="192"/>
      <c r="H105" s="35"/>
    </row>
    <row r="106" spans="1:11" s="1" customFormat="1" ht="0" hidden="1" customHeight="1" x14ac:dyDescent="0.25">
      <c r="A106" s="19" t="e">
        <f>#REF!</f>
        <v>#REF!</v>
      </c>
      <c r="C106" s="8"/>
      <c r="D106" s="9"/>
      <c r="E106" s="40"/>
      <c r="F106" s="192"/>
      <c r="H106" s="35"/>
    </row>
    <row r="107" spans="1:11" s="1" customFormat="1" ht="0" hidden="1" customHeight="1" x14ac:dyDescent="0.25">
      <c r="A107" s="19" t="e">
        <f>#REF!</f>
        <v>#REF!</v>
      </c>
      <c r="C107" s="8"/>
      <c r="D107" s="9"/>
      <c r="E107" s="40"/>
      <c r="F107" s="192"/>
      <c r="H107" s="35"/>
    </row>
    <row r="108" spans="1:11" s="1" customFormat="1" ht="0" hidden="1" customHeight="1" x14ac:dyDescent="0.25">
      <c r="A108"/>
      <c r="C108" s="8"/>
      <c r="D108" s="9"/>
      <c r="E108" s="40"/>
      <c r="F108" s="192"/>
      <c r="H108" s="35"/>
    </row>
    <row r="109" spans="1:11" s="1" customFormat="1" ht="0" hidden="1" customHeight="1" x14ac:dyDescent="0.25">
      <c r="A109"/>
      <c r="C109" s="8"/>
      <c r="D109" s="9"/>
      <c r="E109" s="40"/>
      <c r="F109" s="192"/>
      <c r="H109" s="35"/>
    </row>
    <row r="110" spans="1:11" s="1" customFormat="1" ht="0" hidden="1" customHeight="1" x14ac:dyDescent="0.25">
      <c r="A110"/>
      <c r="C110" s="8"/>
      <c r="D110" s="9"/>
      <c r="E110" s="40"/>
      <c r="F110" s="192"/>
      <c r="H110" s="35"/>
    </row>
    <row r="111" spans="1:11" s="1" customFormat="1" ht="0" hidden="1" customHeight="1" x14ac:dyDescent="0.25">
      <c r="A111"/>
      <c r="C111" s="8"/>
      <c r="D111" s="9"/>
      <c r="E111" s="40"/>
      <c r="F111" s="192"/>
      <c r="H111" s="35"/>
    </row>
    <row r="112" spans="1:11" s="1" customFormat="1" ht="0" hidden="1" customHeight="1" x14ac:dyDescent="0.25">
      <c r="A112"/>
      <c r="C112" s="8"/>
      <c r="D112" s="9"/>
      <c r="E112" s="40"/>
      <c r="F112" s="192"/>
      <c r="H112" s="35"/>
    </row>
    <row r="113" spans="1:8" s="1" customFormat="1" ht="0" hidden="1" customHeight="1" x14ac:dyDescent="0.25">
      <c r="A113"/>
      <c r="C113" s="8"/>
      <c r="D113" s="9"/>
      <c r="E113" s="40"/>
      <c r="F113" s="192"/>
      <c r="H113" s="35"/>
    </row>
    <row r="114" spans="1:8" s="1" customFormat="1" ht="0" hidden="1" customHeight="1" x14ac:dyDescent="0.25">
      <c r="A114"/>
      <c r="C114" s="8"/>
      <c r="D114" s="9"/>
      <c r="E114" s="40"/>
      <c r="F114" s="192"/>
      <c r="H114" s="35"/>
    </row>
    <row r="115" spans="1:8" s="1" customFormat="1" ht="0" hidden="1" customHeight="1" x14ac:dyDescent="0.25">
      <c r="A115"/>
      <c r="C115" s="8"/>
      <c r="D115" s="9"/>
      <c r="E115" s="40"/>
      <c r="F115" s="192"/>
      <c r="H115" s="35"/>
    </row>
    <row r="116" spans="1:8" s="1" customFormat="1" ht="0" hidden="1" customHeight="1" x14ac:dyDescent="0.25">
      <c r="A116"/>
      <c r="C116" s="8"/>
      <c r="D116" s="9"/>
      <c r="E116" s="40"/>
      <c r="F116" s="192"/>
      <c r="H116" s="35"/>
    </row>
    <row r="117" spans="1:8" s="1" customFormat="1" ht="0" hidden="1" customHeight="1" x14ac:dyDescent="0.25">
      <c r="A117"/>
      <c r="C117" s="8"/>
      <c r="D117" s="9"/>
      <c r="E117" s="40"/>
      <c r="F117" s="192"/>
      <c r="H117" s="35"/>
    </row>
  </sheetData>
  <phoneticPr fontId="30" type="noConversion"/>
  <dataValidations count="2">
    <dataValidation allowBlank="1" showInputMessage="1" showErrorMessage="1" promptTitle="Warning!" prompt="The HECVAT is built using a number of complex formulas. Editing this cell can break the functionality of the tool. " sqref="C2 A3:A98 C18:D18 C23:D23 C29:D29 C34:D34 C38:D38 C41:D41 C44:D44 C53:D53 C67:D67 C73:D73 C89:D89 C4:F12 D2:F3 B2:B98 E18:F98" xr:uid="{F8AA2BEC-624D-4324-B4BB-6EDEF05B99D0}"/>
    <dataValidation allowBlank="1" showInputMessage="1" showErrorMessage="1" prompt="This answer has been populated from the &quot;START HERE&quot; tab and does not need to be re-entered." sqref="C3 C13:C17 C19:C22" xr:uid="{CCCA180B-093F-4021-8BA7-878B4FE495EE}"/>
  </dataValidations>
  <hyperlinks>
    <hyperlink ref="A11" r:id="rId1" display="http://www.educause.edu/HECVAT" xr:uid="{78E2AF21-FDB2-45BF-A77C-5149A25000FB}"/>
    <hyperlink ref="D28" r:id="rId2" xr:uid="{3A9F20DF-4875-4D8C-99E8-DF8E606D2E9B}"/>
    <hyperlink ref="D69" r:id="rId3" xr:uid="{7598434E-F396-465E-8FB0-97DF6FC78D04}"/>
  </hyperlinks>
  <pageMargins left="0.75" right="0.75" top="1" bottom="1" header="0.5" footer="0.5"/>
  <pageSetup orientation="landscape" r:id="rId4"/>
  <headerFooter>
    <oddFooter>&amp;L&amp;"Helvetica,Regular"&amp;12&amp;K000000	&amp;P</oddFooter>
  </headerFooter>
  <legacyDrawing r:id="rId5"/>
  <extLst>
    <ext xmlns:x14="http://schemas.microsoft.com/office/spreadsheetml/2009/9/main" uri="{CCE6A557-97BC-4b89-ADB6-D9C93CAAB3DF}">
      <x14:dataValidations xmlns:xm="http://schemas.microsoft.com/office/excel/2006/main" count="2">
        <x14:dataValidation type="list" allowBlank="1" showInputMessage="1" showErrorMessage="1" xr:uid="{2DF7562B-1F06-4B32-8D46-242693F672D2}">
          <x14:formula1>
            <xm:f>'Auto Responses'!$J$3:$J$4</xm:f>
          </x14:formula1>
          <xm:sqref>C24:C27 C68:C71 C32:C33 C54:C60 C74:C75 C45:C52 C42:C43 C88 C30 C62 C64:C66</xm:sqref>
        </x14:dataValidation>
        <x14:dataValidation type="list" allowBlank="1" showInputMessage="1" showErrorMessage="1" xr:uid="{A7CD7EA2-4712-436A-ABAD-79A46B9B4A1C}">
          <x14:formula1>
            <xm:f>'Auto Responses'!$J$3:$J$5</xm:f>
          </x14:formula1>
          <xm:sqref>C72 C61 C90:C97 C39:C40 C76:C87 C35:C37 C63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5E35C-F7CF-4FEE-8A9D-D66B63E8CBBB}">
  <sheetPr>
    <tabColor rgb="FFE0B233"/>
  </sheetPr>
  <dimension ref="A1:N363"/>
  <sheetViews>
    <sheetView showGridLines="0" showZeros="0" topLeftCell="A2" zoomScale="60" zoomScaleNormal="60" workbookViewId="0">
      <selection activeCell="A2" sqref="A2"/>
    </sheetView>
  </sheetViews>
  <sheetFormatPr defaultColWidth="0" defaultRowHeight="0" customHeight="1" zeroHeight="1" x14ac:dyDescent="0.3"/>
  <cols>
    <col min="1" max="1" width="18.59765625" style="55" customWidth="1"/>
    <col min="2" max="2" width="57.59765625" style="55" customWidth="1"/>
    <col min="3" max="9" width="19.59765625" style="55" customWidth="1"/>
    <col min="10" max="10" width="19.59765625" style="55" bestFit="1" customWidth="1"/>
    <col min="11" max="11" width="17.1328125" style="55" customWidth="1"/>
    <col min="12" max="12" width="8.46484375" style="55" customWidth="1"/>
    <col min="13" max="13" width="0" style="55" hidden="1" customWidth="1"/>
    <col min="14" max="16384" width="8.46484375" style="55" hidden="1"/>
  </cols>
  <sheetData>
    <row r="1" spans="1:10" ht="0" hidden="1" customHeight="1" x14ac:dyDescent="0.3">
      <c r="A1" s="55" t="s">
        <v>589</v>
      </c>
    </row>
    <row r="2" spans="1:10" ht="36" customHeight="1" x14ac:dyDescent="0.3">
      <c r="A2" s="172" t="s">
        <v>590</v>
      </c>
      <c r="B2" s="169"/>
      <c r="C2" s="169"/>
      <c r="D2" s="169"/>
      <c r="E2" s="169"/>
      <c r="F2" s="169"/>
      <c r="G2" s="169"/>
      <c r="H2" s="169"/>
      <c r="I2" s="202" t="str">
        <f>'Auto Responses'!$A$36</f>
        <v>Version 4.1.5</v>
      </c>
      <c r="J2" s="170"/>
    </row>
    <row r="3" spans="1:10" ht="25.5" customHeight="1" x14ac:dyDescent="0.3">
      <c r="A3" s="98"/>
      <c r="B3" s="98"/>
      <c r="C3" s="98"/>
      <c r="D3" s="98"/>
      <c r="E3" s="98"/>
      <c r="F3" s="98"/>
      <c r="G3" s="98"/>
      <c r="H3" s="98"/>
      <c r="I3" s="98"/>
      <c r="J3" s="98"/>
    </row>
    <row r="4" spans="1:10" ht="36" customHeight="1" x14ac:dyDescent="0.3">
      <c r="A4" s="99" t="s">
        <v>591</v>
      </c>
      <c r="B4" s="100"/>
      <c r="C4" s="100"/>
      <c r="D4" s="100"/>
      <c r="E4" s="100"/>
      <c r="F4" s="100"/>
      <c r="G4" s="100"/>
      <c r="H4" s="100"/>
      <c r="I4" s="100"/>
      <c r="J4" s="100"/>
    </row>
    <row r="5" spans="1:10" s="267" customFormat="1" ht="19.5" customHeight="1" x14ac:dyDescent="0.3">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7" customFormat="1" ht="19.5" customHeight="1" x14ac:dyDescent="0.3">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7" customFormat="1" ht="19.5" customHeight="1" x14ac:dyDescent="0.3">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7" customFormat="1" ht="19.5" customHeight="1" x14ac:dyDescent="0.3">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7" customFormat="1" ht="19.5" customHeight="1" x14ac:dyDescent="0.3">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35">
      <c r="A10" s="248" t="str">
        <f>HLOOKUP($A$4,'Auto Responses'!$F$2:$F$8,7,0)&amp;""</f>
        <v>For full instructions, please visit EDUCAUSE.edu/HECVAT</v>
      </c>
      <c r="B10" s="61"/>
      <c r="C10" s="61"/>
      <c r="D10" s="61"/>
      <c r="E10" s="61"/>
      <c r="F10" s="61"/>
      <c r="G10" s="61"/>
      <c r="H10" s="61"/>
      <c r="I10" s="61"/>
      <c r="J10" s="61"/>
    </row>
    <row r="11" spans="1:10" s="89" customFormat="1" ht="25.5" customHeight="1" x14ac:dyDescent="0.3">
      <c r="A11" s="153" t="str">
        <f>'START HERE'!$B$13</f>
        <v>Solution Provider Name</v>
      </c>
      <c r="B11" s="139"/>
      <c r="C11" s="133" t="str">
        <f>VLOOKUP($A11,'START HERE'!$B$13:$C$21,2,0)&amp;""</f>
        <v>Preservica Inc</v>
      </c>
      <c r="D11" s="134"/>
      <c r="E11" s="207"/>
      <c r="F11" s="210"/>
      <c r="G11" s="90"/>
      <c r="H11" s="95"/>
      <c r="I11" s="90"/>
      <c r="J11" s="90"/>
    </row>
    <row r="12" spans="1:10" s="89" customFormat="1" ht="25.5" customHeight="1" x14ac:dyDescent="0.3">
      <c r="A12" s="154" t="str">
        <f>'START HERE'!$B$16</f>
        <v>Solution Provider Contact Name</v>
      </c>
      <c r="B12" s="140"/>
      <c r="C12" s="132" t="str">
        <f>VLOOKUP($A12,'START HERE'!$B$13:$C$21,2,0)&amp;""</f>
        <v>Sales</v>
      </c>
      <c r="D12" s="97"/>
      <c r="E12" s="208"/>
      <c r="F12" s="210"/>
      <c r="G12" s="90"/>
      <c r="H12" s="95"/>
      <c r="I12" s="90"/>
      <c r="J12" s="90"/>
    </row>
    <row r="13" spans="1:10" s="89" customFormat="1" ht="25.5" customHeight="1" x14ac:dyDescent="0.3">
      <c r="A13" s="154" t="str">
        <f>'START HERE'!$B$17</f>
        <v>Solution Provider Contact Title</v>
      </c>
      <c r="B13" s="140"/>
      <c r="C13" s="132" t="str">
        <f>VLOOKUP($A13,'START HERE'!$B$13:$C$21,2,0)&amp;""</f>
        <v>Sales</v>
      </c>
      <c r="D13" s="97"/>
      <c r="E13" s="208"/>
      <c r="F13" s="210"/>
      <c r="G13" s="90"/>
      <c r="H13" s="95"/>
      <c r="I13" s="90"/>
      <c r="J13" s="90"/>
    </row>
    <row r="14" spans="1:10" s="89" customFormat="1" ht="25.5" customHeight="1" x14ac:dyDescent="0.3">
      <c r="A14" s="154" t="str">
        <f>'START HERE'!$B$18</f>
        <v>Solution Provider Contact Email</v>
      </c>
      <c r="B14" s="140"/>
      <c r="C14" s="132" t="str">
        <f>VLOOKUP($A14,'START HERE'!$B$13:$C$21,2,0)&amp;""</f>
        <v>Sales@preservica.com</v>
      </c>
      <c r="D14" s="97"/>
      <c r="E14" s="208"/>
      <c r="F14" s="211"/>
      <c r="G14" s="131"/>
      <c r="H14" s="131"/>
      <c r="I14" s="131"/>
      <c r="J14" s="131"/>
    </row>
    <row r="15" spans="1:10" s="89" customFormat="1" ht="25.5" customHeight="1" x14ac:dyDescent="0.3">
      <c r="A15" s="154" t="str">
        <f>'START HERE'!$B$14</f>
        <v>Solution Name</v>
      </c>
      <c r="B15" s="140"/>
      <c r="C15" s="132" t="str">
        <f>VLOOKUP($A15,'START HERE'!$B$13:$C$21,2,0)&amp;""</f>
        <v>Preservica Pro, Preservica Pro Plus, Preservica Enterprise, Preservica Enterprise Plus - v9.x</v>
      </c>
      <c r="D15" s="97"/>
      <c r="E15" s="208"/>
      <c r="F15" s="211"/>
      <c r="G15" s="131"/>
      <c r="H15" s="131"/>
      <c r="I15" s="131"/>
      <c r="J15" s="131"/>
    </row>
    <row r="16" spans="1:10" s="89" customFormat="1" ht="25.5" customHeight="1" x14ac:dyDescent="0.3">
      <c r="A16" s="154" t="str">
        <f>'START HERE'!$B$15</f>
        <v>Solution Description</v>
      </c>
      <c r="B16" s="140"/>
      <c r="C16" s="132" t="str">
        <f>VLOOKUP($A16,'START HERE'!$B$13:$C$21,2,0)&amp;""</f>
        <v>Preservica combines all the core requirements for successful long-term active digital preservation – including public and secure access - into a single integrated application that can be quickly deployed and hosted in the cloud.</v>
      </c>
      <c r="D16" s="97"/>
      <c r="E16" s="208"/>
      <c r="F16" s="211"/>
      <c r="G16" s="131"/>
      <c r="H16" s="131"/>
      <c r="I16" s="131"/>
      <c r="J16" s="131"/>
    </row>
    <row r="17" spans="1:11" s="89" customFormat="1" ht="25.5" customHeight="1" thickBot="1" x14ac:dyDescent="0.35">
      <c r="A17" s="155" t="s">
        <v>592</v>
      </c>
      <c r="B17" s="141"/>
      <c r="C17" s="332">
        <f>'START HERE'!$C$3</f>
        <v>46255</v>
      </c>
      <c r="D17" s="137"/>
      <c r="E17" s="209"/>
      <c r="F17" s="211"/>
      <c r="G17" s="131"/>
      <c r="H17" s="131"/>
      <c r="I17" s="131"/>
      <c r="J17" s="131"/>
    </row>
    <row r="18" spans="1:11" s="89" customFormat="1" ht="24.75" customHeight="1" x14ac:dyDescent="0.3">
      <c r="A18" s="90"/>
      <c r="B18" s="90"/>
      <c r="C18" s="255"/>
      <c r="D18" s="96"/>
      <c r="E18" s="90"/>
      <c r="F18" s="90"/>
      <c r="G18" s="90"/>
      <c r="H18" s="91"/>
      <c r="I18" s="91"/>
      <c r="J18" s="91"/>
    </row>
    <row r="19" spans="1:11" s="87" customFormat="1" ht="24" customHeight="1" thickBot="1" x14ac:dyDescent="0.35">
      <c r="A19" s="378"/>
      <c r="B19" s="378"/>
      <c r="C19" s="378"/>
      <c r="D19" s="88"/>
    </row>
    <row r="20" spans="1:11" ht="30" customHeight="1" thickBot="1" x14ac:dyDescent="0.35">
      <c r="A20" s="268" t="s">
        <v>593</v>
      </c>
      <c r="B20" s="83" t="s">
        <v>594</v>
      </c>
      <c r="C20" s="107" t="s">
        <v>595</v>
      </c>
      <c r="D20" s="82" t="s">
        <v>596</v>
      </c>
      <c r="E20" s="106" t="s">
        <v>597</v>
      </c>
      <c r="F20" s="106" t="s">
        <v>598</v>
      </c>
      <c r="G20" s="122" t="s">
        <v>599</v>
      </c>
      <c r="H20" s="123"/>
      <c r="I20" s="124"/>
    </row>
    <row r="21" spans="1:11" s="84" customFormat="1" ht="40.5" customHeight="1" x14ac:dyDescent="0.3">
      <c r="B21" s="85" t="str">
        <f>VLOOKUP($K21,'Auto Responses'!$N$4:$O$38,2,0)&amp;""</f>
        <v xml:space="preserve"> Company Information</v>
      </c>
      <c r="C21" s="114" t="b">
        <v>1</v>
      </c>
      <c r="D21" s="108">
        <f>IF($C21=TRUE,SUMIF('(backend scoring)'!$B$3:$B$333,$K21,'(backend scoring)'!$O$3:$O$333),"")</f>
        <v>20</v>
      </c>
      <c r="E21" s="115">
        <f>IF($C21=TRUE,SUMIF('(backend scoring)'!$B$3:$B$333,$K21,'(backend scoring)'!$P$3:$P$333),"")</f>
        <v>20</v>
      </c>
      <c r="F21" s="143">
        <f>IFERROR($E21/$D21,'Auto Responses'!$J$5)</f>
        <v>1</v>
      </c>
      <c r="G21" s="218" t="str">
        <f>$G$20&amp;B21</f>
        <v>Jump to Company Information</v>
      </c>
      <c r="H21" s="117"/>
      <c r="I21" s="119"/>
      <c r="K21" s="351" t="s">
        <v>600</v>
      </c>
    </row>
    <row r="22" spans="1:11" s="84" customFormat="1" ht="40.5" customHeight="1" x14ac:dyDescent="0.3">
      <c r="A22" s="261"/>
      <c r="B22" s="85" t="str">
        <f>VLOOKUP($K22,'Auto Responses'!$N$4:$O$38,2,0)&amp;""</f>
        <v xml:space="preserve"> Documentation</v>
      </c>
      <c r="C22" s="114" t="b">
        <v>1</v>
      </c>
      <c r="D22" s="108">
        <f>IF($C22=TRUE,SUMIF('(backend scoring)'!$B$3:$B$333,$K22,'(backend scoring)'!$O$3:$O$333),"")</f>
        <v>90</v>
      </c>
      <c r="E22" s="115">
        <f>IF($C22=TRUE,SUMIF('(backend scoring)'!$B$3:$B$333,$K22,'(backend scoring)'!$P$3:$P$333),"")</f>
        <v>90</v>
      </c>
      <c r="F22" s="142">
        <f>IFERROR($E22/$D22,'Auto Responses'!$J$5)</f>
        <v>1</v>
      </c>
      <c r="G22" s="218" t="str">
        <f t="shared" ref="G22:G37" si="0">$G$20&amp;B22</f>
        <v>Jump to Documentation</v>
      </c>
      <c r="H22" s="116"/>
      <c r="I22" s="120"/>
      <c r="K22" s="351" t="s">
        <v>601</v>
      </c>
    </row>
    <row r="23" spans="1:11" s="84" customFormat="1" ht="40.5" customHeight="1" x14ac:dyDescent="0.3">
      <c r="A23" s="261"/>
      <c r="B23" s="85" t="str">
        <f>VLOOKUP($K23,'Auto Responses'!$N$4:$O$38,2,0)&amp;""</f>
        <v xml:space="preserve"> Assessment of Third Parties</v>
      </c>
      <c r="C23" s="114" t="b">
        <v>1</v>
      </c>
      <c r="D23" s="108">
        <f>IF($C23=TRUE,SUMIF('(backend scoring)'!$B$3:$B$333,$K23,'(backend scoring)'!$O$3:$O$333),"")</f>
        <v>90</v>
      </c>
      <c r="E23" s="115">
        <f>IF($C23=TRUE,SUMIF('(backend scoring)'!$B$3:$B$333,$K23,'(backend scoring)'!$P$3:$P$333),"")</f>
        <v>90</v>
      </c>
      <c r="F23" s="142">
        <f>IFERROR($E23/$D23,'Auto Responses'!$J$5)</f>
        <v>1</v>
      </c>
      <c r="G23" s="218" t="str">
        <f t="shared" si="0"/>
        <v>Jump to Assessment of Third Parties</v>
      </c>
      <c r="H23" s="116"/>
      <c r="I23" s="120"/>
      <c r="K23" s="351" t="s">
        <v>602</v>
      </c>
    </row>
    <row r="24" spans="1:11" s="84" customFormat="1" ht="40.5" customHeight="1" x14ac:dyDescent="0.3">
      <c r="B24" s="85" t="str">
        <f>VLOOKUP($K24,'Auto Responses'!$N$4:$O$38,2,0)&amp;""</f>
        <v xml:space="preserve"> Change Management</v>
      </c>
      <c r="C24" s="114" t="b">
        <v>1</v>
      </c>
      <c r="D24" s="108">
        <f>IF($C24=TRUE,SUMIF('(backend scoring)'!$B$3:$B$333,$K24,'(backend scoring)'!$O$3:$O$333),"")</f>
        <v>150</v>
      </c>
      <c r="E24" s="115">
        <f>IF($C24=TRUE,SUMIF('(backend scoring)'!$B$3:$B$333,$K24,'(backend scoring)'!$P$3:$P$333),"")</f>
        <v>145</v>
      </c>
      <c r="F24" s="142">
        <f>IFERROR($E24/$D24,'Auto Responses'!$J$5)</f>
        <v>0.96666666666666667</v>
      </c>
      <c r="G24" s="218" t="str">
        <f t="shared" si="0"/>
        <v>Jump to Change Management</v>
      </c>
      <c r="H24" s="116"/>
      <c r="I24" s="120"/>
      <c r="K24" s="351" t="s">
        <v>603</v>
      </c>
    </row>
    <row r="25" spans="1:11" s="84" customFormat="1" ht="40.5" customHeight="1" x14ac:dyDescent="0.3">
      <c r="B25" s="85" t="str">
        <f>VLOOKUP($K25,'Auto Responses'!$N$4:$O$38,2,0)&amp;""</f>
        <v xml:space="preserve"> Policies, Processes, and Procedures</v>
      </c>
      <c r="C25" s="114" t="b">
        <v>1</v>
      </c>
      <c r="D25" s="108">
        <f>IF($C25=TRUE,SUMIF('(backend scoring)'!$B$3:$B$333,$K25,'(backend scoring)'!$O$3:$O$333),"")</f>
        <v>145</v>
      </c>
      <c r="E25" s="115">
        <f>IF($C25=TRUE,SUMIF('(backend scoring)'!$B$3:$B$333,$K25,'(backend scoring)'!$P$3:$P$333),"")</f>
        <v>145</v>
      </c>
      <c r="F25" s="142">
        <f>IFERROR($E25/$D25,'Auto Responses'!$J$5)</f>
        <v>1</v>
      </c>
      <c r="G25" s="218" t="str">
        <f t="shared" si="0"/>
        <v>Jump to Policies, Processes, and Procedures</v>
      </c>
      <c r="H25" s="116"/>
      <c r="I25" s="120"/>
      <c r="K25" s="351" t="s">
        <v>604</v>
      </c>
    </row>
    <row r="26" spans="1:11" s="84" customFormat="1" ht="40.5" customHeight="1" x14ac:dyDescent="0.3">
      <c r="B26" s="85" t="str">
        <f>VLOOKUP($K26,'Auto Responses'!$N$4:$O$38,2,0)&amp;""</f>
        <v xml:space="preserve"> Authentication, Authorization, and Account Management</v>
      </c>
      <c r="C26" s="114" t="b">
        <v>1</v>
      </c>
      <c r="D26" s="108">
        <f>IF($C26=TRUE,SUMIF('(backend scoring)'!$B$3:$B$333,$K26,'(backend scoring)'!$O$3:$O$333),"")</f>
        <v>250</v>
      </c>
      <c r="E26" s="115">
        <f>IF($C26=TRUE,SUMIF('(backend scoring)'!$B$3:$B$333,$K26,'(backend scoring)'!$P$3:$P$333),"")</f>
        <v>135</v>
      </c>
      <c r="F26" s="142">
        <f>IFERROR($E26/$D26,'Auto Responses'!$J$5)</f>
        <v>0.54</v>
      </c>
      <c r="G26" s="218" t="str">
        <f t="shared" si="0"/>
        <v>Jump to Authentication, Authorization, and Account Management</v>
      </c>
      <c r="H26" s="116"/>
      <c r="I26" s="120"/>
      <c r="K26" s="351" t="s">
        <v>605</v>
      </c>
    </row>
    <row r="27" spans="1:11" s="84" customFormat="1" ht="40.5" customHeight="1" x14ac:dyDescent="0.3">
      <c r="B27" s="85" t="str">
        <f>VLOOKUP($K27,'Auto Responses'!$N$4:$O$38,2,0)&amp;""</f>
        <v xml:space="preserve"> Data</v>
      </c>
      <c r="C27" s="114" t="b">
        <v>1</v>
      </c>
      <c r="D27" s="108">
        <f>IF($C27=TRUE,SUMIF('(backend scoring)'!$B$3:$B$333,$K27,'(backend scoring)'!$O$3:$O$333),"")</f>
        <v>280</v>
      </c>
      <c r="E27" s="115">
        <f>IF($C27=TRUE,SUMIF('(backend scoring)'!$B$3:$B$333,$K27,'(backend scoring)'!$P$3:$P$333),"")</f>
        <v>230</v>
      </c>
      <c r="F27" s="142">
        <f>IFERROR($E27/$D27,'Auto Responses'!$J$5)</f>
        <v>0.8214285714285714</v>
      </c>
      <c r="G27" s="218" t="str">
        <f t="shared" si="0"/>
        <v>Jump to Data</v>
      </c>
      <c r="H27" s="116"/>
      <c r="I27" s="120"/>
      <c r="K27" s="351" t="s">
        <v>606</v>
      </c>
    </row>
    <row r="28" spans="1:11" s="84" customFormat="1" ht="40.5" customHeight="1" x14ac:dyDescent="0.3">
      <c r="B28" s="85" t="str">
        <f>VLOOKUP($K28,'Auto Responses'!$N$4:$O$38,2,0)&amp;""</f>
        <v xml:space="preserve"> Application/Service Security</v>
      </c>
      <c r="C28" s="114" t="b">
        <v>1</v>
      </c>
      <c r="D28" s="108">
        <f>IF($C28=TRUE,SUMIF('(backend scoring)'!$B$3:$B$333,$K28,'(backend scoring)'!$O$3:$O$333),"")</f>
        <v>195</v>
      </c>
      <c r="E28" s="115">
        <f>IF($C28=TRUE,SUMIF('(backend scoring)'!$B$3:$B$333,$K28,'(backend scoring)'!$P$3:$P$333),"")</f>
        <v>195</v>
      </c>
      <c r="F28" s="142">
        <f>IFERROR($E28/$D28,'Auto Responses'!$J$5)</f>
        <v>1</v>
      </c>
      <c r="G28" s="218" t="str">
        <f t="shared" si="0"/>
        <v>Jump to Application/Service Security</v>
      </c>
      <c r="H28" s="116"/>
      <c r="I28" s="120"/>
      <c r="K28" s="351" t="s">
        <v>607</v>
      </c>
    </row>
    <row r="29" spans="1:11" s="84" customFormat="1" ht="40.5" customHeight="1" x14ac:dyDescent="0.3">
      <c r="B29" s="85" t="str">
        <f>VLOOKUP($K29,'Auto Responses'!$N$4:$O$38,2,0)&amp;""</f>
        <v xml:space="preserve"> Datacenter</v>
      </c>
      <c r="C29" s="114" t="b">
        <v>1</v>
      </c>
      <c r="D29" s="108">
        <f>IF($C29=TRUE,SUMIF('(backend scoring)'!$B$3:$B$333,$K29,'(backend scoring)'!$O$3:$O$333),"")</f>
        <v>60</v>
      </c>
      <c r="E29" s="115">
        <f>IF($C29=TRUE,SUMIF('(backend scoring)'!$B$3:$B$333,$K29,'(backend scoring)'!$P$3:$P$333),"")</f>
        <v>20</v>
      </c>
      <c r="F29" s="142">
        <f>IFERROR($E29/$D29,'Auto Responses'!$J$5)</f>
        <v>0.33333333333333331</v>
      </c>
      <c r="G29" s="218" t="str">
        <f t="shared" si="0"/>
        <v>Jump to Datacenter</v>
      </c>
      <c r="H29" s="116"/>
      <c r="I29" s="120"/>
      <c r="K29" s="351" t="s">
        <v>608</v>
      </c>
    </row>
    <row r="30" spans="1:11" s="84" customFormat="1" ht="40.5" customHeight="1" x14ac:dyDescent="0.3">
      <c r="B30" s="85" t="str">
        <f>VLOOKUP($K30,'Auto Responses'!$N$4:$O$38,2,0)&amp;""</f>
        <v xml:space="preserve"> Firewalls, IDS, IPS, and Networking</v>
      </c>
      <c r="C30" s="114" t="b">
        <v>1</v>
      </c>
      <c r="D30" s="108">
        <f>IF($C30=TRUE,SUMIF('(backend scoring)'!$B$3:$B$333,$K30,'(backend scoring)'!$O$3:$O$333),"")</f>
        <v>145</v>
      </c>
      <c r="E30" s="115">
        <f>IF($C30=TRUE,SUMIF('(backend scoring)'!$B$3:$B$333,$K30,'(backend scoring)'!$P$3:$P$333),"")</f>
        <v>145</v>
      </c>
      <c r="F30" s="142">
        <f>IFERROR($E30/$D30,'Auto Responses'!$J$5)</f>
        <v>1</v>
      </c>
      <c r="G30" s="218" t="str">
        <f t="shared" si="0"/>
        <v>Jump to Firewalls, IDS, IPS, and Networking</v>
      </c>
      <c r="H30" s="116"/>
      <c r="I30" s="120"/>
      <c r="K30" s="351" t="s">
        <v>609</v>
      </c>
    </row>
    <row r="31" spans="1:11" s="84" customFormat="1" ht="40.5" customHeight="1" x14ac:dyDescent="0.3">
      <c r="B31" s="85" t="str">
        <f>VLOOKUP($K31,'Auto Responses'!$N$4:$O$38,2,0)&amp;""</f>
        <v xml:space="preserve"> Incident Handling</v>
      </c>
      <c r="C31" s="114" t="b">
        <v>1</v>
      </c>
      <c r="D31" s="108">
        <f>IF($C31=TRUE,SUMIF('(backend scoring)'!$B$3:$B$333,$K31,'(backend scoring)'!$O$3:$O$333),"")</f>
        <v>25</v>
      </c>
      <c r="E31" s="115">
        <f>IF($C31=TRUE,SUMIF('(backend scoring)'!$B$3:$B$333,$K31,'(backend scoring)'!$P$3:$P$333),"")</f>
        <v>25</v>
      </c>
      <c r="F31" s="142">
        <f>IFERROR($E31/$D31,'Auto Responses'!$J$5)</f>
        <v>1</v>
      </c>
      <c r="G31" s="218" t="str">
        <f t="shared" si="0"/>
        <v>Jump to Incident Handling</v>
      </c>
      <c r="H31" s="116"/>
      <c r="I31" s="120"/>
      <c r="K31" s="351" t="s">
        <v>610</v>
      </c>
    </row>
    <row r="32" spans="1:11" s="84" customFormat="1" ht="40.5" customHeight="1" x14ac:dyDescent="0.3">
      <c r="B32" s="85" t="str">
        <f>VLOOKUP($K32,'Auto Responses'!$N$4:$O$38,2,0)&amp;""</f>
        <v xml:space="preserve"> Vulnerability Management</v>
      </c>
      <c r="C32" s="114" t="b">
        <v>1</v>
      </c>
      <c r="D32" s="108">
        <f>IF($C32=TRUE,SUMIF('(backend scoring)'!$B$3:$B$333,$K32,'(backend scoring)'!$O$3:$O$333),"")</f>
        <v>85</v>
      </c>
      <c r="E32" s="115">
        <f>IF($C32=TRUE,SUMIF('(backend scoring)'!$B$3:$B$333,$K32,'(backend scoring)'!$P$3:$P$333),"")</f>
        <v>85</v>
      </c>
      <c r="F32" s="142">
        <f>IFERROR($E32/$D32,'Auto Responses'!$J$5)</f>
        <v>1</v>
      </c>
      <c r="G32" s="218" t="str">
        <f t="shared" si="0"/>
        <v>Jump to Vulnerability Management</v>
      </c>
      <c r="H32" s="116"/>
      <c r="I32" s="120"/>
      <c r="K32" s="351" t="s">
        <v>611</v>
      </c>
    </row>
    <row r="33" spans="1:13" s="84" customFormat="1" ht="40.5" customHeight="1" x14ac:dyDescent="0.3">
      <c r="B33" s="85" t="str">
        <f>VLOOKUP($K33,'Auto Responses'!$N$4:$O$38,2,0)&amp;""</f>
        <v xml:space="preserve"> Consulting Services</v>
      </c>
      <c r="C33" s="114" t="b">
        <v>1</v>
      </c>
      <c r="D33" s="108">
        <f>IF($C33=TRUE,SUMIF('(backend scoring)'!$B$3:$B$333,$K33,'(backend scoring)'!$O$3:$O$333),"")</f>
        <v>130</v>
      </c>
      <c r="E33" s="115">
        <f>IF($C33=TRUE,SUMIF('(backend scoring)'!$B$3:$B$333,$K33,'(backend scoring)'!$P$3:$P$333),"")</f>
        <v>130</v>
      </c>
      <c r="F33" s="142">
        <f>IFERROR($E33/$D33,'Auto Responses'!$J$5)</f>
        <v>1</v>
      </c>
      <c r="G33" s="218" t="str">
        <f t="shared" si="0"/>
        <v>Jump to Consulting Services</v>
      </c>
      <c r="H33" s="116"/>
      <c r="I33" s="120"/>
      <c r="K33" s="351" t="s">
        <v>612</v>
      </c>
    </row>
    <row r="34" spans="1:13" s="84" customFormat="1" ht="40.5" customHeight="1" x14ac:dyDescent="0.3">
      <c r="B34" s="85" t="str">
        <f>VLOOKUP($K34,'Auto Responses'!$N$4:$O$38,2,0)&amp;""</f>
        <v xml:space="preserve">HIPAA Compliance </v>
      </c>
      <c r="C34" s="114" t="b">
        <v>1</v>
      </c>
      <c r="D34" s="108">
        <f>IF($C34=TRUE,SUMIF('(backend scoring)'!$B$3:$B$333,$K34,'(backend scoring)'!$O$3:$O$333),"")</f>
        <v>0</v>
      </c>
      <c r="E34" s="115">
        <f>IF($C34=TRUE,SUMIF('(backend scoring)'!$B$3:$B$333,$K34,'(backend scoring)'!$P$3:$P$333),"")</f>
        <v>0</v>
      </c>
      <c r="F34" s="142" t="str">
        <f>IFERROR($E34/$D34,'Auto Responses'!$J$5)</f>
        <v>N/A</v>
      </c>
      <c r="G34" s="218" t="str">
        <f t="shared" si="0"/>
        <v xml:space="preserve">Jump toHIPAA Compliance </v>
      </c>
      <c r="H34" s="116"/>
      <c r="I34" s="120"/>
      <c r="K34" s="351" t="s">
        <v>613</v>
      </c>
    </row>
    <row r="35" spans="1:13" s="84" customFormat="1" ht="40.5" customHeight="1" x14ac:dyDescent="0.3">
      <c r="B35" s="85" t="str">
        <f>VLOOKUP($K35,'Auto Responses'!$N$4:$O$38,2,0)&amp;""</f>
        <v xml:space="preserve"> Payment Card Industry Data Security Standard (PCI DSS)</v>
      </c>
      <c r="C35" s="114" t="b">
        <v>1</v>
      </c>
      <c r="D35" s="108">
        <f>IF($C35=TRUE,SUMIF('(backend scoring)'!$B$3:$B$333,$K35,'(backend scoring)'!$O$3:$O$333),"")</f>
        <v>0</v>
      </c>
      <c r="E35" s="115">
        <f>IF($C35=TRUE,SUMIF('(backend scoring)'!$B$3:$B$333,$K35,'(backend scoring)'!$P$3:$P$333),"")</f>
        <v>0</v>
      </c>
      <c r="F35" s="142" t="str">
        <f>IFERROR($E35/$D35,'Auto Responses'!$J$5)</f>
        <v>N/A</v>
      </c>
      <c r="G35" s="218" t="str">
        <f t="shared" si="0"/>
        <v>Jump to Payment Card Industry Data Security Standard (PCI DSS)</v>
      </c>
      <c r="H35" s="116"/>
      <c r="I35" s="120"/>
      <c r="K35" s="351" t="s">
        <v>614</v>
      </c>
    </row>
    <row r="36" spans="1:13" s="84" customFormat="1" ht="40.5" customHeight="1" x14ac:dyDescent="0.3">
      <c r="B36" s="85" t="str">
        <f>VLOOKUP($K36,'Auto Responses'!$N$4:$O$38,2,0)&amp;""</f>
        <v xml:space="preserve"> On-Premises Data Solutions</v>
      </c>
      <c r="C36" s="114" t="b">
        <v>1</v>
      </c>
      <c r="D36" s="108">
        <f>IF($C36=TRUE,SUMIF('(backend scoring)'!$B$3:$B$333,$K36,'(backend scoring)'!$O$3:$O$333),"")</f>
        <v>0</v>
      </c>
      <c r="E36" s="115">
        <f>IF($C36=TRUE,SUMIF('(backend scoring)'!$B$3:$B$333,$K36,'(backend scoring)'!$P$3:$P$333),"")</f>
        <v>0</v>
      </c>
      <c r="F36" s="142" t="str">
        <f>IFERROR($E36/$D36,'Auto Responses'!$J$5)</f>
        <v>N/A</v>
      </c>
      <c r="G36" s="218" t="str">
        <f t="shared" si="0"/>
        <v>Jump to On-Premises Data Solutions</v>
      </c>
      <c r="H36" s="116"/>
      <c r="I36" s="120"/>
      <c r="K36" s="351" t="s">
        <v>615</v>
      </c>
    </row>
    <row r="37" spans="1:13" s="84" customFormat="1" ht="40.5" customHeight="1" x14ac:dyDescent="0.3">
      <c r="B37" s="85" t="str">
        <f>VLOOKUP($K37,'Auto Responses'!$N$4:$O$38,2,0)&amp;""</f>
        <v xml:space="preserve"> IT Accessibility</v>
      </c>
      <c r="C37" s="114" t="b">
        <v>1</v>
      </c>
      <c r="D37" s="108">
        <f>IF($C37=TRUE,SUMIF('(backend scoring)'!$B$3:$B$333,$K37,'(backend scoring)'!$O$3:$O$333),"")</f>
        <v>170</v>
      </c>
      <c r="E37" s="115">
        <f>IF($C37=TRUE,SUMIF('(backend scoring)'!$B$3:$B$333,$K37,'(backend scoring)'!$P$3:$P$333),"")</f>
        <v>150</v>
      </c>
      <c r="F37" s="142">
        <f>IFERROR($E37/$D37,'Auto Responses'!$J$5)</f>
        <v>0.88235294117647056</v>
      </c>
      <c r="G37" s="218" t="str">
        <f t="shared" si="0"/>
        <v>Jump to IT Accessibility</v>
      </c>
      <c r="H37" s="116"/>
      <c r="I37" s="120"/>
      <c r="K37" s="351" t="s">
        <v>616</v>
      </c>
    </row>
    <row r="38" spans="1:13" s="84" customFormat="1" ht="40.5" customHeight="1" x14ac:dyDescent="0.3">
      <c r="B38" s="85" t="s">
        <v>617</v>
      </c>
      <c r="C38" s="114" t="b">
        <v>1</v>
      </c>
      <c r="D38" s="148">
        <f>IF($C38=TRUE,SUMIF('(backend scoring)'!$E$3:$E$333,'Auto Responses'!$L$20,'(backend scoring)'!$O$3:$O$333),"")</f>
        <v>305</v>
      </c>
      <c r="E38" s="148">
        <f>IF($C38=TRUE,SUMIF('(backend scoring)'!$E$3:$E$333,'Auto Responses'!$L$20,'(backend scoring)'!$P$3:$P$333),"")</f>
        <v>225</v>
      </c>
      <c r="F38" s="142">
        <f>IFERROR($E38/$D38,'Auto Responses'!$J$5)</f>
        <v>0.73770491803278693</v>
      </c>
      <c r="G38" s="219" t="str">
        <f>"Jump to AI Questions"</f>
        <v>Jump to AI Questions</v>
      </c>
      <c r="H38" s="116"/>
      <c r="I38" s="120"/>
    </row>
    <row r="39" spans="1:13" s="84" customFormat="1" ht="40.5" customHeight="1" thickBot="1" x14ac:dyDescent="0.35">
      <c r="B39" s="144" t="s">
        <v>618</v>
      </c>
      <c r="C39" s="145" t="b">
        <v>1</v>
      </c>
      <c r="D39" s="146">
        <f>IF($C39=TRUE,'Privacy Analyst Evaluation'!$D$31,"")</f>
        <v>530</v>
      </c>
      <c r="E39" s="146">
        <f>IF($C39=TRUE,'Privacy Analyst Evaluation'!$E$31,"")</f>
        <v>465</v>
      </c>
      <c r="F39" s="147">
        <f>IFERROR($E39/$D39,'Auto Responses'!$J$5)</f>
        <v>0.87735849056603776</v>
      </c>
      <c r="G39" s="220" t="str">
        <f>"Jump to Privacy Scorecard"</f>
        <v>Jump to Privacy Scorecard</v>
      </c>
      <c r="H39" s="118"/>
      <c r="I39" s="121"/>
    </row>
    <row r="40" spans="1:13" s="84" customFormat="1" ht="30" customHeight="1" thickBot="1" x14ac:dyDescent="0.3">
      <c r="B40" s="83" t="s">
        <v>619</v>
      </c>
      <c r="C40" s="107"/>
      <c r="D40" s="109">
        <f>SUM(D21:D39)</f>
        <v>2670</v>
      </c>
      <c r="E40" s="109">
        <f>SUM(E21:E39)</f>
        <v>2295</v>
      </c>
      <c r="F40" s="81">
        <f>IFERROR(E40/D40,'Auto Responses'!$J$5)</f>
        <v>0.8595505617977528</v>
      </c>
      <c r="G40" s="125"/>
      <c r="H40" s="126"/>
      <c r="I40" s="127"/>
      <c r="J40" s="234" t="s">
        <v>36</v>
      </c>
    </row>
    <row r="41" spans="1:13" ht="15" x14ac:dyDescent="0.3">
      <c r="F41" s="55" t="s">
        <v>620</v>
      </c>
    </row>
    <row r="42" spans="1:13" ht="15" x14ac:dyDescent="0.3"/>
    <row r="43" spans="1:13" ht="15" customHeight="1" x14ac:dyDescent="0.3"/>
    <row r="44" spans="1:13" s="23" customFormat="1" ht="36" customHeight="1" x14ac:dyDescent="0.25">
      <c r="A44" s="171" t="s">
        <v>621</v>
      </c>
      <c r="B44" s="171"/>
      <c r="C44" s="175"/>
      <c r="D44" s="171"/>
      <c r="E44" s="171"/>
      <c r="F44" s="171"/>
      <c r="G44" s="171"/>
      <c r="H44" s="171"/>
      <c r="I44" s="171"/>
      <c r="J44" s="171"/>
      <c r="K44" s="171"/>
      <c r="L44" s="55"/>
      <c r="M44" s="1"/>
    </row>
    <row r="45" spans="1:13" s="23" customFormat="1" ht="36" customHeight="1" x14ac:dyDescent="0.25">
      <c r="A45" s="24" t="s">
        <v>622</v>
      </c>
      <c r="B45" s="24"/>
      <c r="C45" s="69"/>
      <c r="D45" s="24"/>
      <c r="E45" s="24"/>
      <c r="F45" s="24"/>
      <c r="G45" s="24"/>
      <c r="H45" s="24"/>
      <c r="I45" s="24"/>
      <c r="J45" s="24"/>
      <c r="K45" s="24"/>
      <c r="L45" s="55"/>
      <c r="M45" s="1"/>
    </row>
    <row r="46" spans="1:13" s="1" customFormat="1" ht="36" customHeight="1" x14ac:dyDescent="0.25">
      <c r="A46" s="11" t="s">
        <v>591</v>
      </c>
      <c r="B46" s="12"/>
      <c r="C46" s="13"/>
      <c r="D46" s="14"/>
      <c r="E46" s="14"/>
      <c r="F46" s="15"/>
      <c r="G46" s="15"/>
      <c r="H46" s="15"/>
      <c r="I46" s="15"/>
      <c r="J46" s="15"/>
      <c r="K46" s="15"/>
      <c r="L46" s="55"/>
    </row>
    <row r="47" spans="1:13" s="1" customFormat="1" ht="19.5" customHeight="1" x14ac:dyDescent="0.25">
      <c r="A47" s="247" t="str">
        <f>HLOOKUP($A$4,'Auto Responses'!$F$2:$F$7,2,0)&amp;""</f>
        <v>1. Upon initial review, you can check the "Non-Negotiable" box by any question to compile a report of questions that may prohibit a full review.</v>
      </c>
      <c r="B47" s="61"/>
      <c r="C47" s="61"/>
      <c r="D47" s="61"/>
      <c r="E47" s="61"/>
      <c r="F47" s="61"/>
      <c r="G47" s="61"/>
      <c r="H47" s="61"/>
      <c r="I47" s="61"/>
      <c r="J47" s="61"/>
      <c r="K47" s="16"/>
      <c r="L47" s="55"/>
    </row>
    <row r="48" spans="1:13" s="1" customFormat="1" ht="19.5" customHeight="1" x14ac:dyDescent="0.25">
      <c r="A48" s="247" t="str">
        <f>HLOOKUP($A$4,'Auto Responses'!$F$2:$F$7,3,0)&amp;""</f>
        <v>2. When evaluating an answer, a default importance level has been set. You can use the "Importance Override" dropdown to override the default and adjust the value of the question.</v>
      </c>
      <c r="B48" s="61"/>
      <c r="C48" s="61"/>
      <c r="D48" s="61"/>
      <c r="E48" s="61"/>
      <c r="F48" s="61"/>
      <c r="G48" s="61"/>
      <c r="H48" s="61"/>
      <c r="I48" s="61"/>
      <c r="J48" s="61"/>
      <c r="K48" s="16"/>
      <c r="L48" s="55"/>
    </row>
    <row r="49" spans="1:13" s="1" customFormat="1" ht="19.5" customHeight="1" x14ac:dyDescent="0.25">
      <c r="A49" s="247" t="str">
        <f>HLOOKUP($A$4,'Auto Responses'!$F$2:$F$7,4,0)&amp;""</f>
        <v>3. For questions that are qualitative or for which you disagree with the preferred response, make a selection in the "Compliant Override" dropdown to adjust the question's impact on the score.</v>
      </c>
      <c r="B49" s="61"/>
      <c r="C49" s="61"/>
      <c r="D49" s="61"/>
      <c r="E49" s="61"/>
      <c r="F49" s="61"/>
      <c r="G49" s="61"/>
      <c r="H49" s="61"/>
      <c r="I49" s="61"/>
      <c r="J49" s="61"/>
      <c r="K49" s="16"/>
      <c r="L49" s="55"/>
    </row>
    <row r="50" spans="1:13" s="1" customFormat="1" ht="19.5" customHeight="1" x14ac:dyDescent="0.25">
      <c r="A50" s="247" t="str">
        <f>HLOOKUP($A$4,'Auto Responses'!$F$2:$F$7,5,0)&amp;""</f>
        <v xml:space="preserve">4. Each worksheet shows a report for that section. See the "Analyst Report" sheet for a full report of all sections. </v>
      </c>
      <c r="B50" s="61"/>
      <c r="C50" s="61"/>
      <c r="D50" s="61"/>
      <c r="E50" s="61"/>
      <c r="F50" s="61"/>
      <c r="G50" s="61"/>
      <c r="H50" s="61"/>
      <c r="I50" s="61"/>
      <c r="J50" s="61"/>
      <c r="K50" s="16"/>
      <c r="L50" s="55"/>
    </row>
    <row r="51" spans="1:13" s="1" customFormat="1" ht="19.5" customHeight="1" x14ac:dyDescent="0.25">
      <c r="A51" s="247" t="str">
        <f>HLOOKUP($A$4,'Auto Responses'!$F$2:$F$7,6,0)&amp;""</f>
        <v xml:space="preserve">5. If you are evaluating a question that appears in an earlier section, the Importance and Compliant Override cannot be changed but additional notes can be added. </v>
      </c>
      <c r="B51" s="61"/>
      <c r="C51" s="61"/>
      <c r="D51" s="61"/>
      <c r="E51" s="61"/>
      <c r="F51" s="61"/>
      <c r="G51" s="61"/>
      <c r="H51" s="61"/>
      <c r="I51" s="61"/>
      <c r="J51" s="61"/>
      <c r="K51" s="16"/>
      <c r="L51" s="55"/>
    </row>
    <row r="52" spans="1:13" s="1" customFormat="1" ht="19.5" customHeight="1" thickBot="1" x14ac:dyDescent="0.3">
      <c r="A52" s="248" t="str">
        <f>HLOOKUP($A$4,'Auto Responses'!$F$2:$F$8,7,0)&amp;""</f>
        <v>For full instructions, please visit EDUCAUSE.edu/HECVAT</v>
      </c>
      <c r="B52" s="61"/>
      <c r="C52" s="61"/>
      <c r="D52" s="61"/>
      <c r="E52" s="61"/>
      <c r="F52" s="61"/>
      <c r="G52" s="61"/>
      <c r="H52" s="61"/>
      <c r="I52" s="61"/>
      <c r="J52" s="61"/>
      <c r="K52" s="16"/>
      <c r="L52" s="55"/>
    </row>
    <row r="53" spans="1:13" s="23" customFormat="1" ht="41.25" customHeight="1" thickBot="1" x14ac:dyDescent="0.3">
      <c r="A53" s="25"/>
      <c r="B53" s="25"/>
      <c r="C53" s="70"/>
      <c r="D53" s="25"/>
      <c r="E53" s="25"/>
      <c r="F53" s="185" t="s">
        <v>24</v>
      </c>
      <c r="G53" s="178" t="s">
        <v>623</v>
      </c>
      <c r="H53" s="179"/>
      <c r="I53" s="179"/>
      <c r="J53" s="179"/>
      <c r="K53" s="179"/>
      <c r="L53" s="55"/>
      <c r="M53" s="1"/>
    </row>
    <row r="54" spans="1:13" s="29" customFormat="1" ht="63" customHeight="1" thickBot="1" x14ac:dyDescent="0.3">
      <c r="A54" s="26" t="s">
        <v>624</v>
      </c>
      <c r="B54" s="27" t="s">
        <v>625</v>
      </c>
      <c r="C54" s="27" t="s">
        <v>21</v>
      </c>
      <c r="D54" s="28" t="s">
        <v>22</v>
      </c>
      <c r="E54" s="303" t="s">
        <v>23</v>
      </c>
      <c r="F54" s="186" t="s">
        <v>626</v>
      </c>
      <c r="G54" s="46" t="s">
        <v>627</v>
      </c>
      <c r="H54" s="43" t="s">
        <v>628</v>
      </c>
      <c r="I54" s="43" t="s">
        <v>629</v>
      </c>
      <c r="J54" s="44" t="s">
        <v>630</v>
      </c>
      <c r="K54" s="47" t="s">
        <v>631</v>
      </c>
      <c r="L54" s="55"/>
      <c r="M54" s="1"/>
    </row>
    <row r="55" spans="1:13" s="1" customFormat="1" ht="17.5" x14ac:dyDescent="0.25">
      <c r="A55" s="63" t="str">
        <f>VLOOKUP(LEFT($A56,4),'Auto Responses'!$N$4:$O$38,2,0)&amp;""</f>
        <v xml:space="preserve"> General Information</v>
      </c>
      <c r="B55" s="22"/>
      <c r="C55" s="31"/>
      <c r="D55" s="31"/>
      <c r="E55" s="325"/>
      <c r="F55" s="128" t="s">
        <v>632</v>
      </c>
      <c r="G55" s="31"/>
      <c r="H55" s="31"/>
      <c r="I55" s="31"/>
      <c r="J55" s="31"/>
      <c r="K55" s="31"/>
      <c r="L55" s="55"/>
    </row>
    <row r="56" spans="1:13" s="29" customFormat="1" ht="15" x14ac:dyDescent="0.25">
      <c r="A56" s="19" t="str">
        <f>'START HERE'!$A$13</f>
        <v>GNRL-01</v>
      </c>
      <c r="B56" s="20" t="str">
        <f>VLOOKUP($A56,'START HERE'!$A$13:$E$36,2,0)&amp;""</f>
        <v>Solution Provider Name</v>
      </c>
      <c r="C56" s="299" t="str">
        <f>VLOOKUP($A56,'START HERE'!$A$13:$E$36,3,0)&amp;""</f>
        <v>Preservica Inc</v>
      </c>
      <c r="D56" s="302" t="str">
        <f>IF(LEFT(VLOOKUP($A56,'START HERE'!$A$13:$E$36,5,0),21)='Auto Responses'!$A$32,'Auto Responses'!$A$33,VLOOKUP($A56,'START HERE'!$A$13:$E$36,4,0))&amp;""</f>
        <v/>
      </c>
      <c r="E56" s="324" t="str">
        <f>VLOOKUP($A56,'START HERE'!$A$13:$E$36,5,0)&amp;""</f>
        <v/>
      </c>
      <c r="F56" s="188"/>
      <c r="G56" s="30" t="str">
        <f>VLOOKUP($A56,Questions!$A$2:$X$333,21,0)&amp;""</f>
        <v>Not scored</v>
      </c>
      <c r="H56" s="181"/>
      <c r="I56" s="45" t="str">
        <f>VLOOKUP($A56,Questions!$A$2:$X$333,23,0)&amp;""</f>
        <v/>
      </c>
      <c r="J56" s="181"/>
      <c r="K56" s="75"/>
      <c r="L56" s="55"/>
      <c r="M56" s="1"/>
    </row>
    <row r="57" spans="1:13" s="29" customFormat="1" ht="15" x14ac:dyDescent="0.25">
      <c r="A57" s="19" t="str">
        <f>'START HERE'!$A$14</f>
        <v>GNRL-02</v>
      </c>
      <c r="B57" s="20" t="str">
        <f>VLOOKUP($A57,'START HERE'!$A$13:$E$36,2,0)&amp;""</f>
        <v>Solution Name</v>
      </c>
      <c r="C57" s="299" t="str">
        <f>VLOOKUP($A57,'START HERE'!$A$13:$E$36,3,0)&amp;""</f>
        <v>Preservica Pro, Preservica Pro Plus, Preservica Enterprise, Preservica Enterprise Plus - v9.x</v>
      </c>
      <c r="D57" s="302" t="str">
        <f>IF(LEFT(VLOOKUP($A57,'START HERE'!$A$13:$E$36,5,0),21)='Auto Responses'!$A$32,'Auto Responses'!$A$33,VLOOKUP($A57,'START HERE'!$A$13:$E$36,4,0))&amp;""</f>
        <v/>
      </c>
      <c r="E57" s="324" t="str">
        <f>VLOOKUP($A57,'START HERE'!$A$13:$E$36,5,0)&amp;""</f>
        <v/>
      </c>
      <c r="F57" s="188"/>
      <c r="G57" s="30" t="str">
        <f>VLOOKUP($A57,Questions!$A$2:$X$333,21,0)&amp;""</f>
        <v>Not scored</v>
      </c>
      <c r="H57" s="181"/>
      <c r="I57" s="45" t="str">
        <f>VLOOKUP($A57,Questions!$A$2:$X$333,23,0)&amp;""</f>
        <v/>
      </c>
      <c r="J57" s="181"/>
      <c r="K57" s="75"/>
      <c r="L57" s="55"/>
      <c r="M57" s="1"/>
    </row>
    <row r="58" spans="1:13" s="29" customFormat="1" ht="15" x14ac:dyDescent="0.25">
      <c r="A58" s="19" t="str">
        <f>'START HERE'!$A$15</f>
        <v>GNRL-03</v>
      </c>
      <c r="B58" s="20" t="str">
        <f>VLOOKUP($A58,'START HERE'!$A$13:$E$36,2,0)&amp;""</f>
        <v>Solution Description</v>
      </c>
      <c r="C58" s="299" t="str">
        <f>VLOOKUP($A58,'START HERE'!$A$13:$E$36,3,0)&amp;""</f>
        <v>Preservica combines all the core requirements for successful long-term active digital preservation – including public and secure access - into a single integrated application that can be quickly deployed and hosted in the cloud.</v>
      </c>
      <c r="D58" s="302" t="str">
        <f>IF(LEFT(VLOOKUP($A58,'START HERE'!$A$13:$E$36,5,0),21)='Auto Responses'!$A$32,'Auto Responses'!$A$33,VLOOKUP($A58,'START HERE'!$A$13:$E$36,4,0))&amp;""</f>
        <v/>
      </c>
      <c r="E58" s="324" t="str">
        <f>VLOOKUP($A58,'START HERE'!$A$13:$E$36,5,0)&amp;""</f>
        <v/>
      </c>
      <c r="F58" s="188"/>
      <c r="G58" s="30" t="str">
        <f>VLOOKUP($A58,Questions!$A$2:$X$333,21,0)&amp;""</f>
        <v>Not scored</v>
      </c>
      <c r="H58" s="181"/>
      <c r="I58" s="45" t="str">
        <f>VLOOKUP($A58,Questions!$A$2:$X$333,23,0)&amp;""</f>
        <v/>
      </c>
      <c r="J58" s="181"/>
      <c r="K58" s="75"/>
      <c r="L58" s="55"/>
      <c r="M58" s="1"/>
    </row>
    <row r="59" spans="1:13" s="29" customFormat="1" ht="15" x14ac:dyDescent="0.25">
      <c r="A59" s="19" t="str">
        <f>'START HERE'!$A$16</f>
        <v>GNRL-04</v>
      </c>
      <c r="B59" s="20" t="str">
        <f>VLOOKUP($A59,'START HERE'!$A$13:$E$36,2,0)&amp;""</f>
        <v>Solution Provider Contact Name</v>
      </c>
      <c r="C59" s="299" t="str">
        <f>VLOOKUP($A59,'START HERE'!$A$13:$E$36,3,0)&amp;""</f>
        <v>Sales</v>
      </c>
      <c r="D59" s="302" t="str">
        <f>IF(LEFT(VLOOKUP($A59,'START HERE'!$A$13:$E$36,5,0),21)='Auto Responses'!$A$32,'Auto Responses'!$A$33,VLOOKUP($A59,'START HERE'!$A$13:$E$36,4,0))&amp;""</f>
        <v/>
      </c>
      <c r="E59" s="324" t="str">
        <f>VLOOKUP($A59,'START HERE'!$A$13:$E$36,5,0)&amp;""</f>
        <v/>
      </c>
      <c r="F59" s="188"/>
      <c r="G59" s="30" t="str">
        <f>VLOOKUP($A59,Questions!$A$2:$X$333,21,0)&amp;""</f>
        <v>Not scored</v>
      </c>
      <c r="H59" s="181"/>
      <c r="I59" s="45" t="str">
        <f>VLOOKUP($A59,Questions!$A$2:$X$333,23,0)&amp;""</f>
        <v/>
      </c>
      <c r="J59" s="181"/>
      <c r="K59" s="75"/>
      <c r="L59" s="55"/>
      <c r="M59" s="1"/>
    </row>
    <row r="60" spans="1:13" s="29" customFormat="1" ht="15" x14ac:dyDescent="0.25">
      <c r="A60" s="19" t="str">
        <f>'START HERE'!$A$17</f>
        <v>GNRL-05</v>
      </c>
      <c r="B60" s="20" t="str">
        <f>VLOOKUP($A60,'START HERE'!$A$13:$E$36,2,0)&amp;""</f>
        <v>Solution Provider Contact Title</v>
      </c>
      <c r="C60" s="299" t="str">
        <f>VLOOKUP($A60,'START HERE'!$A$13:$E$36,3,0)&amp;""</f>
        <v>Sales</v>
      </c>
      <c r="D60" s="302" t="str">
        <f>IF(LEFT(VLOOKUP($A60,'START HERE'!$A$13:$E$36,5,0),21)='Auto Responses'!$A$32,'Auto Responses'!$A$33,VLOOKUP($A60,'START HERE'!$A$13:$E$36,4,0))&amp;""</f>
        <v/>
      </c>
      <c r="E60" s="324" t="str">
        <f>VLOOKUP($A60,'START HERE'!$A$13:$E$36,5,0)&amp;""</f>
        <v/>
      </c>
      <c r="F60" s="188"/>
      <c r="G60" s="30" t="str">
        <f>VLOOKUP($A60,Questions!$A$2:$X$333,21,0)&amp;""</f>
        <v>Not scored</v>
      </c>
      <c r="H60" s="181"/>
      <c r="I60" s="45" t="str">
        <f>VLOOKUP($A60,Questions!$A$2:$X$333,23,0)&amp;""</f>
        <v/>
      </c>
      <c r="J60" s="181"/>
      <c r="K60" s="75"/>
      <c r="L60" s="55"/>
      <c r="M60" s="1"/>
    </row>
    <row r="61" spans="1:13" s="29" customFormat="1" ht="15" x14ac:dyDescent="0.25">
      <c r="A61" s="19" t="str">
        <f>'START HERE'!$A$18</f>
        <v>GNRL-06</v>
      </c>
      <c r="B61" s="20" t="str">
        <f>VLOOKUP($A61,'START HERE'!$A$13:$E$36,2,0)&amp;""</f>
        <v>Solution Provider Contact Email</v>
      </c>
      <c r="C61" s="299" t="str">
        <f>VLOOKUP($A61,'START HERE'!$A$13:$E$36,3,0)&amp;""</f>
        <v>Sales@preservica.com</v>
      </c>
      <c r="D61" s="302" t="str">
        <f>IF(LEFT(VLOOKUP($A61,'START HERE'!$A$13:$E$36,5,0),21)='Auto Responses'!$A$32,'Auto Responses'!$A$33,VLOOKUP($A61,'START HERE'!$A$13:$E$36,4,0))&amp;""</f>
        <v/>
      </c>
      <c r="E61" s="324" t="str">
        <f>VLOOKUP($A61,'START HERE'!$A$13:$E$36,5,0)&amp;""</f>
        <v/>
      </c>
      <c r="F61" s="188"/>
      <c r="G61" s="30" t="str">
        <f>VLOOKUP($A61,Questions!$A$2:$X$333,21,0)&amp;""</f>
        <v>Not scored</v>
      </c>
      <c r="H61" s="181"/>
      <c r="I61" s="45" t="str">
        <f>VLOOKUP($A61,Questions!$A$2:$X$333,23,0)&amp;""</f>
        <v/>
      </c>
      <c r="J61" s="181"/>
      <c r="K61" s="75"/>
      <c r="L61" s="55"/>
      <c r="M61" s="1"/>
    </row>
    <row r="62" spans="1:13" s="29" customFormat="1" ht="15" x14ac:dyDescent="0.25">
      <c r="A62" s="19" t="str">
        <f>'START HERE'!$A$19</f>
        <v>GNRL-07</v>
      </c>
      <c r="B62" s="20" t="str">
        <f>VLOOKUP($A62,'START HERE'!$A$13:$E$36,2,0)&amp;""</f>
        <v>Solution Provider Contact Phone Number</v>
      </c>
      <c r="C62" s="299" t="str">
        <f>VLOOKUP($A62,'START HERE'!$A$13:$E$36,3,0)&amp;""</f>
        <v>781-983-4229</v>
      </c>
      <c r="D62" s="302" t="str">
        <f>IF(LEFT(VLOOKUP($A62,'START HERE'!$A$13:$E$36,5,0),21)='Auto Responses'!$A$32,'Auto Responses'!$A$33,VLOOKUP($A62,'START HERE'!$A$13:$E$36,4,0))&amp;""</f>
        <v/>
      </c>
      <c r="E62" s="324" t="str">
        <f>VLOOKUP($A62,'START HERE'!$A$13:$E$36,5,0)&amp;""</f>
        <v/>
      </c>
      <c r="F62" s="188"/>
      <c r="G62" s="30" t="str">
        <f>VLOOKUP($A62,Questions!$A$2:$X$333,21,0)&amp;""</f>
        <v>Not scored</v>
      </c>
      <c r="H62" s="181"/>
      <c r="I62" s="45" t="str">
        <f>VLOOKUP($A62,Questions!$A$2:$X$333,23,0)&amp;""</f>
        <v/>
      </c>
      <c r="J62" s="181"/>
      <c r="K62" s="75"/>
      <c r="L62" s="55"/>
      <c r="M62" s="1"/>
    </row>
    <row r="63" spans="1:13" s="29" customFormat="1" ht="15" x14ac:dyDescent="0.25">
      <c r="A63" s="19" t="str">
        <f>'START HERE'!$A$20</f>
        <v>GNRL-08</v>
      </c>
      <c r="B63" s="20" t="str">
        <f>VLOOKUP($A63,'START HERE'!$A$13:$E$36,2,0)&amp;""</f>
        <v>Country of Company Headquarters</v>
      </c>
      <c r="C63" s="299" t="str">
        <f>VLOOKUP($A63,'START HERE'!$A$13:$E$36,3,0)&amp;""</f>
        <v>UK</v>
      </c>
      <c r="D63" s="302" t="str">
        <f>IF(LEFT(VLOOKUP($A63,'START HERE'!$A$13:$E$36,5,0),21)='Auto Responses'!$A$32,'Auto Responses'!$A$33,VLOOKUP($A63,'START HERE'!$A$13:$E$36,4,0))&amp;""</f>
        <v/>
      </c>
      <c r="E63" s="324" t="str">
        <f>VLOOKUP($A63,'START HERE'!$A$13:$E$36,5,0)&amp;""</f>
        <v/>
      </c>
      <c r="F63" s="188"/>
      <c r="G63" s="30" t="str">
        <f>VLOOKUP($A63,Questions!$A$2:$X$333,21,0)&amp;""</f>
        <v>Not scored</v>
      </c>
      <c r="H63" s="181"/>
      <c r="I63" s="45" t="str">
        <f>VLOOKUP($A63,Questions!$A$2:$X$333,23,0)&amp;""</f>
        <v/>
      </c>
      <c r="J63" s="181"/>
      <c r="K63" s="75"/>
      <c r="L63" s="55"/>
      <c r="M63" s="1"/>
    </row>
    <row r="64" spans="1:13" s="29" customFormat="1" ht="15" x14ac:dyDescent="0.25">
      <c r="A64" s="19" t="str">
        <f>'START HERE'!$A$21</f>
        <v>GNRL-09</v>
      </c>
      <c r="B64" s="20" t="str">
        <f>VLOOKUP($A64,'START HERE'!$A$13:$E$36,2,0)&amp;""</f>
        <v>Employee Work Locations (all)</v>
      </c>
      <c r="C64" s="299" t="str">
        <f>VLOOKUP($A64,'START HERE'!$A$13:$E$36,3,0)&amp;""</f>
        <v>USA, UK</v>
      </c>
      <c r="D64" s="302" t="str">
        <f>IF(LEFT(VLOOKUP($A64,'START HERE'!$A$13:$E$36,5,0),21)='Auto Responses'!$A$32,'Auto Responses'!$A$33,VLOOKUP($A64,'START HERE'!$A$13:$E$36,4,0))&amp;""</f>
        <v/>
      </c>
      <c r="E64" s="324" t="str">
        <f>VLOOKUP($A64,'START HERE'!$A$13:$E$36,5,0)&amp;""</f>
        <v/>
      </c>
      <c r="F64" s="188"/>
      <c r="G64" s="30" t="str">
        <f>VLOOKUP($A64,Questions!$A$2:$X$333,21,0)&amp;""</f>
        <v>Not scored</v>
      </c>
      <c r="H64" s="181"/>
      <c r="I64" s="45" t="str">
        <f>VLOOKUP($A64,Questions!$A$2:$X$333,23,0)&amp;""</f>
        <v/>
      </c>
      <c r="J64" s="181"/>
      <c r="K64" s="75"/>
      <c r="L64" s="55"/>
      <c r="M64" s="1"/>
    </row>
    <row r="65" spans="1:13" s="1" customFormat="1" ht="17.5" x14ac:dyDescent="0.25">
      <c r="A65" s="63" t="str">
        <f>VLOOKUP(LEFT($A66,4),'Auto Responses'!$N$4:$O$38,2,0)&amp;""</f>
        <v xml:space="preserve"> Company Information</v>
      </c>
      <c r="B65" s="22"/>
      <c r="C65" s="31"/>
      <c r="D65" s="31"/>
      <c r="E65" s="325"/>
      <c r="F65" s="128" t="s">
        <v>632</v>
      </c>
      <c r="G65" s="331" t="s">
        <v>627</v>
      </c>
      <c r="H65" s="331" t="s">
        <v>628</v>
      </c>
      <c r="I65" s="331" t="s">
        <v>629</v>
      </c>
      <c r="J65" s="331" t="s">
        <v>630</v>
      </c>
      <c r="K65" s="331" t="s">
        <v>631</v>
      </c>
      <c r="L65" s="55"/>
    </row>
    <row r="66" spans="1:13" s="29" customFormat="1" ht="409.5" x14ac:dyDescent="0.25">
      <c r="A66" s="19" t="str">
        <f>'START HERE'!$A$23</f>
        <v>COMP-01</v>
      </c>
      <c r="B66" s="20" t="str">
        <f>VLOOKUP($A66,'START HERE'!$A$13:$E$36,2,0)&amp;""</f>
        <v>Do you have a dedicated software and system development team(s) (e.g., customer support, implementation, product management, etc.)?*</v>
      </c>
      <c r="C66" s="45" t="str">
        <f>VLOOKUP($A66,'START HERE'!$A$13:$E$36,3,0)&amp;""</f>
        <v>Yes</v>
      </c>
      <c r="D66" s="34" t="str">
        <f>IF(LEFT(VLOOKUP($A66,'START HERE'!$A$13:$E$36,5,0),21)='Auto Responses'!$A$32,'Auto Responses'!$A$33,VLOOKUP($A66,'START HERE'!$A$13:$E$36,4,0))&amp;""</f>
        <v>Preservica maintains dedicated and separate Software Development, Quality Assurance, Customer Support, Implementation (Customer Success) and Product Management teams. All product development, testing and quality assurance is performed by Preservica personnel located in the United Kingdom and the United States; Preservica does not use outsourced or offshore development. Development, testing and QA activity is governed by Preservica's Secure Development Policy, which applies to all employees, contractors and sub-contractors performing that work. Preservica does not publish team sizes.</v>
      </c>
      <c r="E66" s="328" t="str">
        <f>VLOOKUP($A66,'START HERE'!$A$13:$E$36,5,0)&amp;""</f>
        <v>Describe the structure and size of your software and system development teams. (e.g., customer support, implementation, product management, etc.).</v>
      </c>
      <c r="F66" s="188"/>
      <c r="G66" s="30" t="str">
        <f>VLOOKUP($A66,Questions!$A$2:$X$333,21,0)&amp;""</f>
        <v>Yes</v>
      </c>
      <c r="H66" s="181"/>
      <c r="I66" s="45" t="str">
        <f>VLOOKUP($A66,Questions!$A$2:$X$333,23,0)&amp;""</f>
        <v>Standard Importance</v>
      </c>
      <c r="J66" s="181"/>
      <c r="K66" s="48" t="b">
        <v>0</v>
      </c>
      <c r="L66" s="55"/>
      <c r="M66" s="1"/>
    </row>
    <row r="67" spans="1:13" s="29" customFormat="1" ht="409.5" x14ac:dyDescent="0.25">
      <c r="A67" s="19" t="str">
        <f>'START HERE'!$A$24</f>
        <v>COMP-02</v>
      </c>
      <c r="B67" s="20" t="str">
        <f>VLOOKUP($A67,'START HERE'!$A$13:$E$36,2,0)&amp;""</f>
        <v>Describe your organization’s business background and ownership structure, including all parent and subsidiary relationships.</v>
      </c>
      <c r="C67" s="301" t="str">
        <f>VLOOKUP($A67,'START HERE'!$A$13:$E$36,3,0)&amp;""</f>
        <v/>
      </c>
      <c r="D67" s="302" t="str">
        <f>IF(LEFT(VLOOKUP($A67,'START HERE'!$A$13:$E$36,5,0),21)='Auto Responses'!$A$32,'Auto Responses'!$A$33,VLOOKUP($A67,'START HERE'!$A$13:$E$36,4,0))&amp;""</f>
        <v>Preservica Inc is a wholly owned subsidiary of Preservica Limited, which is based in the United Kingdom. There are no other parent or subsidiary relationships. Support and operations are provided from the United States and the United Kingdom depending on the edition selected by the customer. Addressing the multinational aspects specifically: Preservica does not use outsourced or offshore development, and all development, testing and quality assurance is performed by Preservica personnel in the United Kingdom and the United States. Customer data is stored and processed only within the geographic region specified in the Data Residency section of the customer's Order Form; this is a contractual and enforceable commitment. Where access to customer data is required it may be performed by authorised personnel based in the United Kingdom or the United States, is not routine, and is subject to access control, logging and oversight. Preservica's sub-processors are Amazon Web Services or Microsoft Azure as specified in the Order Form, together with Cloudflare for Professional edition and above; sub-processors are used in a region-dependent manner consistent with the customer's contracted data residency. Preservica accepts responsibility for its sub-processors under its standard Terms and Conditions.</v>
      </c>
      <c r="E67" s="328" t="str">
        <f>VLOOKUP($A67,'START HERE'!$A$13:$E$36,5,0)&amp;""</f>
        <v>Include circumstances that may involve offshoring or multinational agreements.</v>
      </c>
      <c r="F67" s="188"/>
      <c r="G67" s="30" t="str">
        <f>VLOOKUP($A67,Questions!$A$2:$X$333,21,0)&amp;""</f>
        <v>Not scored</v>
      </c>
      <c r="H67" s="181"/>
      <c r="I67" s="45" t="str">
        <f>VLOOKUP($A67,Questions!$A$2:$X$333,23,0)&amp;""</f>
        <v/>
      </c>
      <c r="J67" s="181"/>
      <c r="K67" s="48" t="b">
        <v>0</v>
      </c>
      <c r="L67" s="55"/>
      <c r="M67" s="1"/>
    </row>
    <row r="68" spans="1:13" s="29" customFormat="1" ht="165" x14ac:dyDescent="0.25">
      <c r="A68" s="19" t="str">
        <f>'START HERE'!$A$25</f>
        <v>COMP-03</v>
      </c>
      <c r="B68" s="20" t="str">
        <f>VLOOKUP($A68,'START HERE'!$A$13:$E$36,2,0)&amp;""</f>
        <v>Have you operated without unplanned disruptions to this solution in the past 12 months?</v>
      </c>
      <c r="C68" s="45" t="str">
        <f>VLOOKUP($A68,'START HERE'!$A$13:$E$36,3,0)&amp;""</f>
        <v>Yes</v>
      </c>
      <c r="D68" s="34" t="str">
        <f>IF(LEFT(VLOOKUP($A68,'START HERE'!$A$13:$E$36,5,0),21)='Auto Responses'!$A$32,'Auto Responses'!$A$33,VLOOKUP($A68,'START HERE'!$A$13:$E$36,4,0))&amp;""</f>
        <v>Preservica provides an Application Availability SLA of 99.5%, measured monthly and excluding planned maintenance and other agreed exclusions. Preservica has met or exceeded that SLA throughout the prior 12 months.</v>
      </c>
      <c r="E68" s="328" t="str">
        <f>VLOOKUP($A68,'START HERE'!$A$13:$E$36,5,0)&amp;""</f>
        <v/>
      </c>
      <c r="F68" s="188"/>
      <c r="G68" s="30" t="str">
        <f>VLOOKUP($A68,Questions!$A$2:$X$333,21,0)&amp;""</f>
        <v>Yes</v>
      </c>
      <c r="H68" s="181"/>
      <c r="I68" s="45" t="str">
        <f>VLOOKUP($A68,Questions!$A$2:$X$333,23,0)&amp;""</f>
        <v>Minor Importance</v>
      </c>
      <c r="J68" s="181"/>
      <c r="K68" s="48" t="b">
        <v>0</v>
      </c>
      <c r="L68" s="55"/>
      <c r="M68" s="1"/>
    </row>
    <row r="69" spans="1:13" s="29" customFormat="1" ht="409.5" x14ac:dyDescent="0.25">
      <c r="A69" s="19" t="str">
        <f>'START HERE'!$A$26</f>
        <v>COMP-04</v>
      </c>
      <c r="B69" s="20" t="str">
        <f>VLOOKUP($A69,'START HERE'!$A$13:$E$36,2,0)&amp;""</f>
        <v>Do you have a dedicated information security staff or office?</v>
      </c>
      <c r="C69" s="45" t="str">
        <f>VLOOKUP($A69,'START HERE'!$A$13:$E$36,3,0)&amp;""</f>
        <v>Yes</v>
      </c>
      <c r="D69" s="34" t="str">
        <f>IF(LEFT(VLOOKUP($A69,'START HERE'!$A$13:$E$36,5,0),21)='Auto Responses'!$A$32,'Auto Responses'!$A$33,VLOOKUP($A69,'START HERE'!$A$13:$E$36,4,0))&amp;""</f>
        <v>Preservica has a dedicated Information Security function led by the Chief Information Security Officer, who is responsible for the implementation and monitoring of Preservica's Information Security Program. Ultimate responsibility rests with the Chief Executive Officer and the Board, as documented in Preservica's approved Governance Charter. Day-to-day operation of the programme is managed by the CISO. Independent oversight is provided by Preservica's Leadership Team at an annual Management Review, by the Board annually, on an ad-hoc basis by the Leadership Team in response to changes in the environment or to incidents, and by Preservica's internal and external auditors in alignment with its certification and compliance obligations. Preservica has also appointed a Data Protection Officer, contactable at Privacy@preservica.com. Preservica does not publish the size of its Information Security function.</v>
      </c>
      <c r="E69" s="328" t="str">
        <f>VLOOKUP($A69,'START HERE'!$A$13:$E$36,5,0)&amp;""</f>
        <v>Describe your information security office, including size, talents, resources, etc.</v>
      </c>
      <c r="F69" s="188"/>
      <c r="G69" s="30" t="str">
        <f>VLOOKUP($A69,Questions!$A$2:$X$333,21,0)&amp;""</f>
        <v>Yes</v>
      </c>
      <c r="H69" s="181"/>
      <c r="I69" s="45" t="str">
        <f>VLOOKUP($A69,Questions!$A$2:$X$333,23,0)&amp;""</f>
        <v>Minor Importance</v>
      </c>
      <c r="J69" s="181"/>
      <c r="K69" s="48" t="b">
        <v>0</v>
      </c>
      <c r="L69" s="55"/>
      <c r="M69" s="1"/>
    </row>
    <row r="70" spans="1:13" s="29" customFormat="1" ht="409.5" x14ac:dyDescent="0.25">
      <c r="A70" s="19" t="str">
        <f>'START HERE'!$A$27</f>
        <v>COMP-05</v>
      </c>
      <c r="B70" s="20" t="str">
        <f>VLOOKUP($A70,'START HERE'!$A$13:$E$36,2,0)&amp;""</f>
        <v>Use this area to share information about your environment that will assist those who are assessing your company's data security program.</v>
      </c>
      <c r="C70" s="301" t="str">
        <f>VLOOKUP($A70,'START HERE'!$A$13:$E$36,3,0)&amp;""</f>
        <v/>
      </c>
      <c r="D70" s="302" t="str">
        <f>IF(LEFT(VLOOKUP($A70,'START HERE'!$A$13:$E$36,5,0),21)='Auto Responses'!$A$32,'Auto Responses'!$A$33,VLOOKUP($A70,'START HERE'!$A$13:$E$36,4,0))&amp;""</f>
        <v>Preservica is a SaaS application used for long-term digital preservation and archiving of information assets. Preservica holds ISO/IEC 27001:2022 (information security management) and ISO 9001:2015 (quality management) certifications, UK NCSC Cyber Essentials and Cyber Essentials Plus certification, and TX-RAMP and AZRAMP certifications under the respective US state cloud security programmes. Preservica also undergoes an annual SOC 2 Type II audit, with a report period running from October to September each year. Preservica has adopted WCAG 2.2 Level AA as its accessibility conformance standard, and an accessibility statement and current VPAT are published. Certificates and compliance documentation, including the Information Security Policy and the Shared Responsibility Model, are available via Preservica's Trust Center at https://preservica.com/trust-center, accessible free of charge. The service is hosted on Amazon Web Services or Microsoft Azure infrastructure depending on the customer's configuration; Cloudflare is additionally used for Professional edition and above. Preservica does not operate its own data centres. Responsibilities are set out in Preservica's Shared Responsibility Model: https://website-assets.preservica.com/production/resources/Shared-Responsibility-Model-Global-v1.1.pdf</v>
      </c>
      <c r="E70" s="328" t="str">
        <f>VLOOKUP($A70,'START HERE'!$A$13:$E$36,5,0)&amp;""</f>
        <v>Share any details that would help information security analysts assess your solution.</v>
      </c>
      <c r="F70" s="188"/>
      <c r="G70" s="30" t="str">
        <f>VLOOKUP($A70,Questions!$A$2:$X$333,21,0)&amp;""</f>
        <v>Not scored</v>
      </c>
      <c r="H70" s="181"/>
      <c r="I70" s="45" t="b">
        <f>A2=VLOOKUP($A70,Questions!$A$2:$X$333,23,0)&amp;""</f>
        <v>0</v>
      </c>
      <c r="J70" s="181"/>
      <c r="K70" s="48" t="b">
        <v>0</v>
      </c>
      <c r="L70" s="55"/>
      <c r="M70" s="1"/>
    </row>
    <row r="71" spans="1:13" s="1" customFormat="1" ht="18" thickBot="1" x14ac:dyDescent="0.3">
      <c r="A71" s="63" t="str">
        <f>VLOOKUP(LEFT($A72,4),'Auto Responses'!$N$4:$O$38,2,0)&amp;""</f>
        <v xml:space="preserve"> Required Questions</v>
      </c>
      <c r="B71" s="22"/>
      <c r="C71" s="31"/>
      <c r="D71" s="31"/>
      <c r="E71" s="327"/>
      <c r="F71" s="128" t="s">
        <v>632</v>
      </c>
      <c r="G71" s="331" t="s">
        <v>627</v>
      </c>
      <c r="H71" s="331" t="s">
        <v>628</v>
      </c>
      <c r="I71" s="331" t="s">
        <v>629</v>
      </c>
      <c r="J71" s="331" t="s">
        <v>630</v>
      </c>
      <c r="K71" s="331" t="s">
        <v>631</v>
      </c>
      <c r="L71" s="55"/>
    </row>
    <row r="72" spans="1:13" s="29" customFormat="1" ht="409.5" x14ac:dyDescent="0.25">
      <c r="A72" s="19" t="str">
        <f>'START HERE'!$A$29</f>
        <v>REQU-01</v>
      </c>
      <c r="B72" s="20" t="str">
        <f>VLOOKUP($A72,'START HERE'!$A$13:$E$36,2,0)&amp;""</f>
        <v>Are you offering a cloud-based product?</v>
      </c>
      <c r="C72" s="45" t="str">
        <f>VLOOKUP($A72,'START HERE'!$A$13:$E$36,3,0)&amp;""</f>
        <v>Yes</v>
      </c>
      <c r="D72" s="34" t="str">
        <f>IF(LEFT(VLOOKUP($A72,'START HERE'!$A$13:$E$36,5,0),21)='Auto Responses'!$A$32,'Auto Responses'!$A$33,VLOOKUP($A72,'START HERE'!$A$13:$E$36,4,0))&amp;""</f>
        <v>Preservica is delivered as a cloud-based, commercial-off-the-shelf product under a Software as a Service model, hosted on third-party cloud infrastructure — Amazon Web Services or Microsoft Azure, depending on the institution's configuration. Preservica does not operate its own data centres. Professional Services are available in addition, to support institutions in adopting the product. The division of responsibilities between Preservica and the institution is set out in Preservica's Shared Responsibility Model, published at https://website-assets.preservica.com/production/resources/Shared-Responsibility-Model-Global-v1.1.pdf.</v>
      </c>
      <c r="E72" s="326" t="str">
        <f>VLOOKUP($A72,'START HERE'!$A$13:$E$36,5,0)&amp;""</f>
        <v>DO complete the Product and Infrastructure worksheets</v>
      </c>
      <c r="F72" s="189"/>
      <c r="G72" s="30" t="str">
        <f>VLOOKUP($A72,Questions!$A$2:$X$333,21,0)&amp;""</f>
        <v>Not scored</v>
      </c>
      <c r="H72" s="181"/>
      <c r="I72" s="45" t="str">
        <f>VLOOKUP($A72,Questions!$A$2:$X$333,23,0)&amp;""</f>
        <v/>
      </c>
      <c r="J72" s="181"/>
      <c r="K72" s="151" t="b">
        <v>0</v>
      </c>
      <c r="L72" s="55"/>
      <c r="M72" s="1"/>
    </row>
    <row r="73" spans="1:13" s="29" customFormat="1" ht="409.5" x14ac:dyDescent="0.25">
      <c r="A73" s="19" t="str">
        <f>'START HERE'!$A$30</f>
        <v>REQU-02</v>
      </c>
      <c r="B73" s="20" t="str">
        <f>VLOOKUP($A73,'START HERE'!$A$13:$E$36,2,0)&amp;""</f>
        <v>Does your product or service have an interface?</v>
      </c>
      <c r="C73" s="45" t="str">
        <f>VLOOKUP($A73,'START HERE'!$A$13:$E$36,3,0)&amp;""</f>
        <v>Yes</v>
      </c>
      <c r="D73" s="34" t="str">
        <f>IF(LEFT(VLOOKUP($A73,'START HERE'!$A$13:$E$36,5,0),21)='Auto Responses'!$A$32,'Auto Responses'!$A$33,VLOOKUP($A73,'START HERE'!$A$13:$E$36,4,0))&amp;""</f>
        <v>Preservica's SaaS solutions are accessible via all modern web browsers over the internet, over TLS 1.2 or TLS 1.3 only. Preservica also exposes a documented set of REST APIs, publicly documented at https://developers.preservica.com/. Preservica has adopted WCAG 2.2 Level AA as its accessibility conformance standard; an accessibility statement and the current VPAT are available from Preservica's Trust Center at https://preservica.com/trust-center, and accessibility enquiries can be directed to accessibility@preservica.com.</v>
      </c>
      <c r="E73" s="326" t="str">
        <f>VLOOKUP($A73,'START HERE'!$A$13:$E$36,5,0)&amp;""</f>
        <v>DO complete the IT Accessibility worksheet.</v>
      </c>
      <c r="F73" s="184"/>
      <c r="G73" s="30" t="str">
        <f>VLOOKUP($A73,Questions!$A$2:$X$333,21,0)&amp;""</f>
        <v>Not scored</v>
      </c>
      <c r="H73" s="181"/>
      <c r="I73" s="45" t="str">
        <f>VLOOKUP($A73,Questions!$A$2:$X$333,23,0)&amp;""</f>
        <v/>
      </c>
      <c r="J73" s="181"/>
      <c r="K73" s="48" t="b">
        <v>0</v>
      </c>
      <c r="L73" s="55"/>
      <c r="M73" s="1"/>
    </row>
    <row r="74" spans="1:13" s="29" customFormat="1" ht="60" x14ac:dyDescent="0.25">
      <c r="A74" s="19" t="str">
        <f>'START HERE'!$A$31</f>
        <v>REQU-03</v>
      </c>
      <c r="B74" s="20" t="str">
        <f>VLOOKUP($A74,'START HERE'!$A$13:$E$36,2,0)&amp;""</f>
        <v>Are you providing consulting services?</v>
      </c>
      <c r="C74" s="45" t="str">
        <f>VLOOKUP($A74,'START HERE'!$A$13:$E$36,3,0)&amp;""</f>
        <v>Yes</v>
      </c>
      <c r="D74" s="34" t="str">
        <f>IF(LEFT(VLOOKUP($A74,'START HERE'!$A$13:$E$36,5,0),21)='Auto Responses'!$A$32,'Auto Responses'!$A$33,VLOOKUP($A74,'START HERE'!$A$13:$E$36,4,0))&amp;""</f>
        <v>Preservica refers to these as Professional Services.</v>
      </c>
      <c r="E74" s="326" t="str">
        <f>VLOOKUP($A74,'START HERE'!$A$13:$E$36,5,0)&amp;""</f>
        <v>DO complete the Consulting section in the Case-Specific worksheet</v>
      </c>
      <c r="F74" s="184"/>
      <c r="G74" s="30" t="str">
        <f>VLOOKUP($A74,Questions!$A$2:$X$333,21,0)&amp;""</f>
        <v>Not scored</v>
      </c>
      <c r="H74" s="181"/>
      <c r="I74" s="45" t="str">
        <f>VLOOKUP($A74,Questions!$A$2:$X$333,23,0)&amp;""</f>
        <v/>
      </c>
      <c r="J74" s="181"/>
      <c r="K74" s="48" t="b">
        <v>0</v>
      </c>
      <c r="L74" s="55"/>
      <c r="M74" s="1"/>
    </row>
    <row r="75" spans="1:13" s="29" customFormat="1" ht="330" x14ac:dyDescent="0.25">
      <c r="A75" s="19" t="str">
        <f>'START HERE'!$A$32</f>
        <v>REQU-04</v>
      </c>
      <c r="B75" s="20" t="str">
        <f>VLOOKUP($A75,'START HERE'!$A$13:$E$36,2,0)&amp;""</f>
        <v>Does your solution have AI features, or are there plans to implement AI features in the next 12 months?</v>
      </c>
      <c r="C75" s="45" t="str">
        <f>VLOOKUP($A75,'START HERE'!$A$13:$E$36,3,0)&amp;""</f>
        <v>Yes</v>
      </c>
      <c r="D75" s="34" t="str">
        <f>IF(LEFT(VLOOKUP($A75,'START HERE'!$A$13:$E$36,5,0),21)='Auto Responses'!$A$32,'Auto Responses'!$A$33,VLOOKUP($A75,'START HERE'!$A$13:$E$36,4,0))&amp;""</f>
        <v>Preservica offers opt-in AI capabilities for archival workflows, including OCR, PII identification, image description, audio and video transcription, and metadata quality checks. No AI processing occurs by default — features must be explicitly enabled by the customer, and outputs are presented for human review rather than acted on autonomously. The specific features available depend on product edition and configuration.</v>
      </c>
      <c r="E75" s="326" t="str">
        <f>VLOOKUP($A75,'START HERE'!$A$13:$E$36,5,0)&amp;""</f>
        <v>DO complete the Artificial Intelligence (AI) worksheet</v>
      </c>
      <c r="F75" s="184"/>
      <c r="G75" s="30" t="str">
        <f>VLOOKUP($A75,Questions!$A$2:$X$333,21,0)&amp;""</f>
        <v>Not scored</v>
      </c>
      <c r="H75" s="181"/>
      <c r="I75" s="45" t="str">
        <f>VLOOKUP($A75,Questions!$A$2:$X$333,23,0)&amp;""</f>
        <v/>
      </c>
      <c r="J75" s="181"/>
      <c r="K75" s="48" t="b">
        <v>0</v>
      </c>
      <c r="L75" s="55"/>
      <c r="M75" s="1"/>
    </row>
    <row r="76" spans="1:13" s="29" customFormat="1" ht="210" x14ac:dyDescent="0.25">
      <c r="A76" s="19" t="str">
        <f>'START HERE'!$A$33</f>
        <v>REQU-05</v>
      </c>
      <c r="B76" s="20" t="str">
        <f>VLOOKUP($A76,'START HERE'!$A$13:$E$36,2,0)&amp;""</f>
        <v>Does your solution process protected health information (PHI) or any data covered by the Health Insurance Portability and Accountability Act (HIPAA)?</v>
      </c>
      <c r="C76" s="45" t="str">
        <f>VLOOKUP($A76,'START HERE'!$A$13:$E$36,3,0)&amp;""</f>
        <v>No</v>
      </c>
      <c r="D76" s="34" t="str">
        <f>IF(LEFT(VLOOKUP($A76,'START HERE'!$A$13:$E$36,5,0),21)='Auto Responses'!$A$32,'Auto Responses'!$A$33,VLOOKUP($A76,'START HERE'!$A$13:$E$36,4,0))&amp;""</f>
        <v>Preservica is not designed specifically for the processing of protected health information and does not currently offer a Business Associate Agreement. Customers determine what content they ingest and remain responsible for ensuring it is permitted under their own regulatory obligations.</v>
      </c>
      <c r="E76" s="326" t="str">
        <f>VLOOKUP($A76,'START HERE'!$A$13:$E$36,5,0)&amp;""</f>
        <v>DO NOT complete the HIPAA section in the Case-Specific worksheet</v>
      </c>
      <c r="F76" s="184"/>
      <c r="G76" s="30" t="str">
        <f>VLOOKUP($A76,Questions!$A$2:$X$333,21,0)&amp;""</f>
        <v>Not scored</v>
      </c>
      <c r="H76" s="181"/>
      <c r="I76" s="45" t="str">
        <f>VLOOKUP($A76,Questions!$A$2:$X$333,23,0)&amp;""</f>
        <v/>
      </c>
      <c r="J76" s="181"/>
      <c r="K76" s="48" t="b">
        <v>0</v>
      </c>
      <c r="L76" s="55"/>
      <c r="M76" s="1"/>
    </row>
    <row r="77" spans="1:13" s="29" customFormat="1" ht="210" x14ac:dyDescent="0.25">
      <c r="A77" s="19" t="str">
        <f>'START HERE'!$A$34</f>
        <v>REQU-06</v>
      </c>
      <c r="B77" s="20" t="str">
        <f>VLOOKUP($A77,'START HERE'!$A$13:$E$36,2,0)&amp;""</f>
        <v>Is the solution designed to process, store, or transmit credit card information?</v>
      </c>
      <c r="C77" s="45" t="str">
        <f>VLOOKUP($A77,'START HERE'!$A$13:$E$36,3,0)&amp;""</f>
        <v>No</v>
      </c>
      <c r="D77" s="34" t="str">
        <f>IF(LEFT(VLOOKUP($A77,'START HERE'!$A$13:$E$36,5,0),21)='Auto Responses'!$A$32,'Auto Responses'!$A$33,VLOOKUP($A77,'START HERE'!$A$13:$E$36,4,0))&amp;""</f>
        <v>The solution is not designed to process, store or transmit credit card information, and Preservica's service is not PCI-DSS compliant, as there is not normally a case for digital preservation of Cardholder Data as defined in PCI-DSS. Customers should not store any such data within the service.</v>
      </c>
      <c r="E77" s="326" t="str">
        <f>VLOOKUP($A77,'START HERE'!$A$13:$E$36,5,0)&amp;""</f>
        <v>DO NOT complete the PCI-DSS section in the Case-Specific worksheet</v>
      </c>
      <c r="F77" s="184"/>
      <c r="G77" s="30" t="str">
        <f>VLOOKUP($A77,Questions!$A$2:$X$333,21,0)&amp;""</f>
        <v>Not scored</v>
      </c>
      <c r="H77" s="181"/>
      <c r="I77" s="45" t="str">
        <f>VLOOKUP($A77,Questions!$A$2:$X$333,23,0)&amp;""</f>
        <v/>
      </c>
      <c r="J77" s="181"/>
      <c r="K77" s="48" t="b">
        <v>0</v>
      </c>
      <c r="L77" s="55"/>
      <c r="M77" s="1"/>
    </row>
    <row r="78" spans="1:13" s="29" customFormat="1" ht="409.5" x14ac:dyDescent="0.25">
      <c r="A78" s="19" t="str">
        <f>'START HERE'!$A$35</f>
        <v>REQU-07</v>
      </c>
      <c r="B78" s="20" t="str">
        <f>VLOOKUP($A78,'START HERE'!$A$13:$E$36,2,0)&amp;""</f>
        <v>Does operating your solution require the institution to operate a physical or virtual appliance in their own environment or to provide inbound firewall exceptions to allow your employees to remotely administer systems in the institution's environment?</v>
      </c>
      <c r="C78" s="45" t="str">
        <f>VLOOKUP($A78,'START HERE'!$A$13:$E$36,3,0)&amp;""</f>
        <v>No</v>
      </c>
      <c r="D78" s="34" t="str">
        <f>IF(LEFT(VLOOKUP($A78,'START HERE'!$A$13:$E$36,5,0),21)='Auto Responses'!$A$32,'Auto Responses'!$A$33,VLOOKUP($A78,'START HERE'!$A$13:$E$36,4,0))&amp;""</f>
        <v>Preservica is delivered as a cloud-hosted SaaS service accessed over HTTPS from the user's web browser or via Preservica's documented REST APIs. No physical or virtual appliance is deployed in the institution's environment, and no inbound firewall exception in the institution's environment is required for Preservica personnel to administer the service. Preservica administers only its own hosted infrastructure. Under Preservica's Shared Responsibility Model the institution remains responsible for endpoint protection on the devices used to access the service: https://website-assets.preservica.com/production/resources/Shared-Responsibility-Model-Global-v1.1.pdf</v>
      </c>
      <c r="E78" s="326" t="str">
        <f>VLOOKUP($A78,'START HERE'!$A$13:$E$36,5,0)&amp;""</f>
        <v>DO NOT complete the On-Prem section in the Case-Specific worksheet</v>
      </c>
      <c r="F78" s="184"/>
      <c r="G78" s="30" t="str">
        <f>VLOOKUP($A78,Questions!$A$2:$X$333,21,0)&amp;""</f>
        <v>Not scored</v>
      </c>
      <c r="H78" s="181"/>
      <c r="I78" s="45" t="str">
        <f>VLOOKUP($A78,Questions!$A$2:$X$333,23,0)&amp;""</f>
        <v/>
      </c>
      <c r="J78" s="181"/>
      <c r="K78" s="48" t="b">
        <v>0</v>
      </c>
      <c r="L78" s="55"/>
      <c r="M78" s="1"/>
    </row>
    <row r="79" spans="1:13" s="29" customFormat="1" ht="409.6" thickBot="1" x14ac:dyDescent="0.3">
      <c r="A79" s="19" t="str">
        <f>'START HERE'!$A$36</f>
        <v>REQU-08</v>
      </c>
      <c r="B79" s="20" t="str">
        <f>VLOOKUP($A79,'START HERE'!$A$13:$E$36,2,0)&amp;""</f>
        <v>Does your solution have access to personal or institutional data?</v>
      </c>
      <c r="C79" s="45" t="str">
        <f>VLOOKUP($A79,'START HERE'!$A$13:$E$36,3,0)&amp;""</f>
        <v>Yes</v>
      </c>
      <c r="D79" s="34" t="str">
        <f>IF(LEFT(VLOOKUP($A79,'START HERE'!$A$13:$E$36,5,0),21)='Auto Responses'!$A$32,'Auto Responses'!$A$33,VLOOKUP($A79,'START HERE'!$A$13:$E$36,4,0))&amp;""</f>
        <v>Preservica does not prescribe or restrict the types of data customers choose to store in the platform. Customers determine the classification and sensitivity of the data they store, and are responsible for ensuring its use complies with their own legal and regulatory obligations. In respect of customer data held in the platform, Preservica acts as Processor and processes it only to provide the contracted service, on the customer's instructions and as required by applicable law. Customers retain ownership and control of their data at all times.</v>
      </c>
      <c r="E79" s="326" t="str">
        <f>VLOOKUP($A79,'START HERE'!$A$13:$E$36,5,0)&amp;""</f>
        <v>DO complete the Privacy tab</v>
      </c>
      <c r="F79" s="190"/>
      <c r="G79" s="30" t="str">
        <f>VLOOKUP($A79,Questions!$A$2:$X$333,21,0)&amp;""</f>
        <v>Not scored</v>
      </c>
      <c r="H79" s="181"/>
      <c r="I79" s="45" t="str">
        <f>VLOOKUP($A79,Questions!$A$2:$X$333,23,0)&amp;""</f>
        <v/>
      </c>
      <c r="J79" s="181"/>
      <c r="K79" s="149" t="b">
        <v>0</v>
      </c>
      <c r="L79" s="55"/>
      <c r="M79" s="1"/>
    </row>
    <row r="80" spans="1:13" s="1" customFormat="1" ht="17.5" x14ac:dyDescent="0.25">
      <c r="A80" s="63" t="str">
        <f>VLOOKUP(LEFT($A81,4),'Auto Responses'!$N$4:$O$38,2,0)&amp;""</f>
        <v xml:space="preserve"> Documentation</v>
      </c>
      <c r="B80" s="22"/>
      <c r="C80" s="31"/>
      <c r="D80" s="31"/>
      <c r="E80" s="327"/>
      <c r="F80" s="128" t="s">
        <v>632</v>
      </c>
      <c r="G80" s="331" t="s">
        <v>627</v>
      </c>
      <c r="H80" s="331" t="s">
        <v>628</v>
      </c>
      <c r="I80" s="331" t="s">
        <v>629</v>
      </c>
      <c r="J80" s="331" t="s">
        <v>630</v>
      </c>
      <c r="K80" s="331" t="s">
        <v>631</v>
      </c>
    </row>
    <row r="81" spans="1:12" s="29" customFormat="1" ht="409.5" x14ac:dyDescent="0.25">
      <c r="A81" s="19" t="str">
        <f>Organization!$A$22</f>
        <v>DOCU-01</v>
      </c>
      <c r="B81" s="20" t="str">
        <f>VLOOKUP($A81,Organization!$A$13:$E$67,2,0)&amp;""</f>
        <v>Do you have a well-documented business continuity plan (BCP), with a clear owner, that is tested annually?*</v>
      </c>
      <c r="C81" s="45" t="str">
        <f>VLOOKUP($A81,Organization!$A$13:$E$67,3,0)&amp;""</f>
        <v>Yes</v>
      </c>
      <c r="D81" s="34" t="str">
        <f>IF(LEFT(VLOOKUP($A81,Organization!$A$13:$E$67,5,0),21)='Auto Responses'!$A$32,'Auto Responses'!$A$33,VLOOKUP($A81,Organization!$A$13:$E$67,4,0))&amp;""</f>
        <v>Preservica maintains a documented Business Continuity Plan. Ownership: business continuity is overseen by the Chief Financial Officer, supported by the CISO, with ultimate responsibility resting with the Chief Executive Officer and the Board. Testing: the plan is tested at least annually, either as a tabletop exercise or as a live/technical exercise; where the plan has been invoked in response to a real event, that event may be used in place of a scheduled exercise. The plan is updated following any test that produces findings and is in any case reviewed and updated at least annually. Business continuity falls within the scope of Preservica's ISO/IEC 27001:2022 certification and is independently tested as part of Preservica's SOC 2 Type II audit.</v>
      </c>
      <c r="E81" s="326" t="str">
        <f>VLOOKUP($A81,Organization!$A$13:$E$67,5,0)&amp;""</f>
        <v/>
      </c>
      <c r="F81" s="191"/>
      <c r="G81" s="30" t="str">
        <f>VLOOKUP($A81,Questions!$A$2:$X$333,21,0)&amp;""</f>
        <v>Yes</v>
      </c>
      <c r="H81" s="181"/>
      <c r="I81" s="45" t="str">
        <f>VLOOKUP($A81,Questions!$A$2:$X$333,23,0)&amp;""</f>
        <v>Critical Importance</v>
      </c>
      <c r="J81" s="181"/>
      <c r="K81" s="48" t="b">
        <v>0</v>
      </c>
      <c r="L81" s="1"/>
    </row>
    <row r="82" spans="1:12" s="29" customFormat="1" ht="409.5" x14ac:dyDescent="0.25">
      <c r="A82" s="19" t="str">
        <f>Organization!$A$23</f>
        <v>DOCU-02</v>
      </c>
      <c r="B82" s="20" t="str">
        <f>VLOOKUP($A82,Organization!$A$13:$E$67,2,0)&amp;""</f>
        <v>Do you have a well-documented disaster recovery plan (DRP), with a clear owner, that is tested annually?*</v>
      </c>
      <c r="C82" s="45" t="str">
        <f>VLOOKUP($A82,Organization!$A$13:$E$67,3,0)&amp;""</f>
        <v>Yes</v>
      </c>
      <c r="D82" s="34" t="str">
        <f>IF(LEFT(VLOOKUP($A82,Organization!$A$13:$E$67,5,0),21)='Auto Responses'!$A$32,'Auto Responses'!$A$33,VLOOKUP($A82,Organization!$A$13:$E$67,4,0))&amp;""</f>
        <v>Preservica maintains documented disaster recovery plans and testing procedures for both its AWS- and Azure-hosted environments. Ownership: disaster recovery is owned by Preservica's Operations Director. Objectives: Preservica's standard contractual obligations are a Recovery Time Objective of 4 hours and a Recovery Point Objective of 24 hours. Testing: these objectives are exercised semi-annually — that is, more frequently than annually — and the effectiveness of the underlying controls is independently audited as part of Preservica's SOC 2 Type II report. Resilience and recovery measures are designed so that customer data remains within the contracted residency region, without cross-region movement outside agreed jurisdictional boundaries. Detailed backup and recovery implementation methods, including retention schedules, are not publicly disclosed; customers should rely on the RTO and RPO commitments and the independent SOC 2 assurance over them. Data integrity is separately assured by the platform's fixity checking, which validates or generates a hash of each file at ingest and periodically re-verifies every stored file against the value on record.</v>
      </c>
      <c r="E82" s="326" t="str">
        <f>VLOOKUP($A82,Organization!$A$13:$E$67,5,0)&amp;""</f>
        <v/>
      </c>
      <c r="F82" s="191"/>
      <c r="G82" s="30" t="str">
        <f>VLOOKUP($A82,Questions!$A$2:$X$333,21,0)&amp;""</f>
        <v>Yes</v>
      </c>
      <c r="H82" s="181"/>
      <c r="I82" s="45" t="str">
        <f>VLOOKUP($A82,Questions!$A$2:$X$333,23,0)&amp;""</f>
        <v>Critical Importance</v>
      </c>
      <c r="J82" s="181"/>
      <c r="K82" s="48" t="b">
        <v>0</v>
      </c>
      <c r="L82" s="1"/>
    </row>
    <row r="83" spans="1:12" s="29" customFormat="1" ht="409.5" x14ac:dyDescent="0.25">
      <c r="A83" s="19" t="str">
        <f>Organization!$A$24</f>
        <v>DOCU-03</v>
      </c>
      <c r="B83" s="20" t="str">
        <f>VLOOKUP($A83,Organization!$A$13:$E$67,2,0)&amp;""</f>
        <v>Have you undergone a SSAE 18/SOC 2 audit?</v>
      </c>
      <c r="C83" s="45" t="str">
        <f>VLOOKUP($A83,Organization!$A$13:$E$67,3,0)&amp;""</f>
        <v>Yes</v>
      </c>
      <c r="D83" s="34" t="str">
        <f>IF(LEFT(VLOOKUP($A83,Organization!$A$13:$E$67,5,0),21)='Auto Responses'!$A$32,'Auto Responses'!$A$33,VLOOKUP($A83,Organization!$A$13:$E$67,4,0))&amp;""</f>
        <v>Preservica undergoes an annual SOC 2 Type II audit. The report period runs from October to September each year, and the current report is available on request via Preservica's Trust Center at https://preservica.com/trust-center. The subject of the audit is Preservica and the Preservica service. Preservica's cloud infrastructure providers, Amazon Web Services and Microsoft Azure, are audited separately under their own independently audited certifications and attestations, which Preservica reviews at least annually as part of its critical supplier review process; Preservica does not operate its own data centres.</v>
      </c>
      <c r="E83" s="326" t="str">
        <f>VLOOKUP($A83,Organization!$A$13:$E$67,5,0)&amp;""</f>
        <v>Provide the date of assessment and include a SOC 2 Type 2 (preferred) or SOC 3 report. If you have a SOC 3 report, state how to obtain a copy. Indicate if your hosting provider was the subject of the audit.</v>
      </c>
      <c r="F83" s="191"/>
      <c r="G83" s="30" t="str">
        <f>VLOOKUP($A83,Questions!$A$2:$X$333,21,0)&amp;""</f>
        <v>Yes</v>
      </c>
      <c r="H83" s="181"/>
      <c r="I83" s="45" t="str">
        <f>VLOOKUP($A83,Questions!$A$2:$X$333,23,0)&amp;""</f>
        <v>Standard Importance</v>
      </c>
      <c r="J83" s="181"/>
      <c r="K83" s="48" t="b">
        <v>0</v>
      </c>
      <c r="L83" s="1"/>
    </row>
    <row r="84" spans="1:12" s="29" customFormat="1" ht="409.5" x14ac:dyDescent="0.25">
      <c r="A84" s="19" t="str">
        <f>Organization!$A$25</f>
        <v>DOCU-04</v>
      </c>
      <c r="B84" s="20" t="str">
        <f>VLOOKUP($A84,Organization!$A$13:$E$67,2,0)&amp;""</f>
        <v>Do you conform with a specific industry standard security framework (e.g., NIST Cybersecurity Framework, CIS Controls, ISO 27001, etc.)?</v>
      </c>
      <c r="C84" s="45" t="str">
        <f>VLOOKUP($A84,Organization!$A$13:$E$67,3,0)&amp;""</f>
        <v>Yes</v>
      </c>
      <c r="D84" s="34" t="str">
        <f>IF(LEFT(VLOOKUP($A84,Organization!$A$13:$E$67,5,0),21)='Auto Responses'!$A$32,'Auto Responses'!$A$33,VLOOKUP($A84,Organization!$A$13:$E$67,4,0))&amp;""</f>
        <v>Preservica conforms to ISO/IEC 27001:2022 for information security management and ISO 9001:2015 for quality management, and holds UK NCSC Cyber Essentials and Cyber Essentials Plus certification. Preservica also holds TX-RAMP and AZRAMP certifications under the respective US state cloud security programmes, and undergoes an annual SOC 2 Type II audit. Preservica's Information Security Management System is supported by a documented policy library with an assigned Owner and Approver for every policy and procedure; all policies and procedures are reviewed at least annually, on material change to the environment, or in response to an incident. All of Preservica's accreditations, certifications and reports are available from Preservica's Trust Center at https://preservica.com/trust-center.</v>
      </c>
      <c r="E84" s="326" t="str">
        <f>VLOOKUP($A84,Organization!$A$13:$E$67,5,0)&amp;""</f>
        <v>Provide documentation on how your organization conforms to your chosen framework and indicate current certification levels, where appropriate.</v>
      </c>
      <c r="F84" s="191"/>
      <c r="G84" s="30" t="str">
        <f>VLOOKUP($A84,Questions!$A$2:$X$333,21,0)&amp;""</f>
        <v>Yes</v>
      </c>
      <c r="H84" s="181"/>
      <c r="I84" s="45" t="str">
        <f>VLOOKUP($A84,Questions!$A$2:$X$333,23,0)&amp;""</f>
        <v>Standard Importance</v>
      </c>
      <c r="J84" s="181"/>
      <c r="K84" s="48" t="b">
        <v>0</v>
      </c>
      <c r="L84" s="1"/>
    </row>
    <row r="85" spans="1:12" s="29" customFormat="1" ht="255" x14ac:dyDescent="0.25">
      <c r="A85" s="19" t="str">
        <f>Organization!$A$26</f>
        <v>DOCU-05</v>
      </c>
      <c r="B85" s="20" t="str">
        <f>VLOOKUP($A85,Organization!$A$13:$E$67,2,0)&amp;""</f>
        <v>Can you provide overall system and/or application architecture diagrams, including a full description of the data flow for all components of the system?</v>
      </c>
      <c r="C85" s="45" t="str">
        <f>VLOOKUP($A85,Organization!$A$13:$E$67,3,0)&amp;""</f>
        <v>Yes</v>
      </c>
      <c r="D85" s="34" t="str">
        <f>IF(LEFT(VLOOKUP($A85,Organization!$A$13:$E$67,5,0),21)='Auto Responses'!$A$32,'Auto Responses'!$A$33,VLOOKUP($A85,Organization!$A$13:$E$67,4,0))&amp;""</f>
        <v>High-level architecture and security architecture diagrams can be shared with prospective customers under a non-disclosure agreement, or with existing customers under the right-to-audit provisions of their agreement. Detailed data-flow documentation is not provided. Requests should be directed to Information.Security@preservica.com.</v>
      </c>
      <c r="E85" s="326" t="str">
        <f>VLOOKUP($A85,Organization!$A$13:$E$67,5,0)&amp;""</f>
        <v>Provide your diagrams (or a valid link to it) upon submission.</v>
      </c>
      <c r="F85" s="191"/>
      <c r="G85" s="30" t="str">
        <f>VLOOKUP($A85,Questions!$A$2:$X$333,21,0)&amp;""</f>
        <v>Yes</v>
      </c>
      <c r="H85" s="181"/>
      <c r="I85" s="45" t="str">
        <f>VLOOKUP($A85,Questions!$A$2:$X$333,23,0)&amp;""</f>
        <v>Standard Importance</v>
      </c>
      <c r="J85" s="181"/>
      <c r="K85" s="48" t="b">
        <v>0</v>
      </c>
      <c r="L85" s="1"/>
    </row>
    <row r="86" spans="1:12" s="29" customFormat="1" ht="409.5" x14ac:dyDescent="0.25">
      <c r="A86" s="19" t="str">
        <f>Organization!$A$27</f>
        <v>DOCU-06</v>
      </c>
      <c r="B86" s="20" t="str">
        <f>VLOOKUP($A86,Organization!$A$13:$E$67,2,0)&amp;""</f>
        <v>Does your organization have a data privacy policy?</v>
      </c>
      <c r="C86" s="45" t="str">
        <f>VLOOKUP($A86,Organization!$A$13:$E$67,3,0)&amp;""</f>
        <v>Yes</v>
      </c>
      <c r="D86" s="34" t="str">
        <f>IF(LEFT(VLOOKUP($A86,Organization!$A$13:$E$67,5,0),21)='Auto Responses'!$A$32,'Auto Responses'!$A$33,VLOOKUP($A86,Organization!$A$13:$E$67,4,0))&amp;""</f>
        <v>Yes. Preservica's Privacy Policy and GDPR Policy are both available via Preservica's Trust Center at https://preservica.com/trust-center, and the privacy notice is published at https://preservica.com/privacy-notice. In respect of customer data held in the platform Preservica acts as Processor; Preservica acts as Controller for the limited personal data required to manage the commercial relationship with the customer. Preservica has appointed a Data Protection Officer, contactable at Privacy@preservica.com.</v>
      </c>
      <c r="E86" s="326" t="str">
        <f>VLOOKUP($A86,Organization!$A$13:$E$67,5,0)&amp;""</f>
        <v>Provide your data privacy document (or a valid link to it) upon submission.</v>
      </c>
      <c r="F86" s="191"/>
      <c r="G86" s="30" t="str">
        <f>VLOOKUP($A86,Questions!$A$2:$X$333,21,0)&amp;""</f>
        <v>Yes</v>
      </c>
      <c r="H86" s="181"/>
      <c r="I86" s="45" t="str">
        <f>VLOOKUP($A86,Questions!$A$2:$X$333,23,0)&amp;""</f>
        <v>Standard Importance</v>
      </c>
      <c r="J86" s="181"/>
      <c r="K86" s="48" t="b">
        <v>0</v>
      </c>
      <c r="L86" s="1"/>
    </row>
    <row r="87" spans="1:12" s="29" customFormat="1" ht="409.5" x14ac:dyDescent="0.25">
      <c r="A87" s="19" t="str">
        <f>Organization!$A$28</f>
        <v>DOCU-07</v>
      </c>
      <c r="B87" s="20" t="str">
        <f>VLOOKUP($A87,Organization!$A$13:$E$67,2,0)&amp;""</f>
        <v>Do you have a documented, and currently implemented, employee onboarding and offboarding policy?</v>
      </c>
      <c r="C87" s="45" t="str">
        <f>VLOOKUP($A87,Organization!$A$13:$E$67,3,0)&amp;""</f>
        <v>Yes</v>
      </c>
      <c r="D87" s="34" t="str">
        <f>IF(LEFT(VLOOKUP($A87,Organization!$A$13:$E$67,5,0),21)='Auto Responses'!$A$32,'Auto Responses'!$A$33,VLOOKUP($A87,Organization!$A$13:$E$67,4,0))&amp;""</f>
        <v>Yes. Preservica maintains documented New Starter and Leaver IT procedures governing the joiner, mover and leaver lifecycle. Microsoft Entra ID is the central identity directory and all employees are issued an Entra ID account by default; systems are integrated with Entra ID via Single Sign-On wherever technically feasible. Provisioning and de-provisioning are initiated through the internal helpdesk on request from Human Resources or the user's line manager. Access to additional systems is requested by the employee or their line manager and approved by the line manager or a member of the Leadership Team — self-approval is not permitted — and created by the owner of the relevant system. On leaving, the user's Entra ID account is disabled, which immediately prevents authentication to all SSO-integrated systems; remaining access is removed under the Leaver IT procedure on written line-manager authorisation, with removals recorded. Company assets are returned and recorded on termination, with laptops reset and user data securely wiped before reuse or disposal. All staff are screened before employment or engagement, and all employees read and acknowledge Preservica's core policies on hire and annually thereafter. These provisioning, de-provisioning and review controls fall within the scope of Preservica's ISO/IEC 27001:2022 certification and are described and independently tested in Preservica's SOC 2 Type II report.</v>
      </c>
      <c r="E87" s="326" t="str">
        <f>VLOOKUP($A87,Organization!$A$13:$E$67,5,0)&amp;""</f>
        <v>Provide a reference to your employee onboarding and offboarding policy and supporting documentation or submit it along with this fully populated HECVAT.</v>
      </c>
      <c r="F87" s="191"/>
      <c r="G87" s="30" t="str">
        <f>VLOOKUP($A87,Questions!$A$2:$X$333,21,0)&amp;""</f>
        <v>Yes</v>
      </c>
      <c r="H87" s="181"/>
      <c r="I87" s="45" t="str">
        <f>VLOOKUP($A87,Questions!$A$2:$X$333,23,0)&amp;""</f>
        <v>Standard Importance</v>
      </c>
      <c r="J87" s="181"/>
      <c r="K87" s="48" t="b">
        <v>0</v>
      </c>
      <c r="L87" s="1"/>
    </row>
    <row r="88" spans="1:12" s="1" customFormat="1" ht="17.5" x14ac:dyDescent="0.25">
      <c r="A88" s="63" t="str">
        <f>VLOOKUP(LEFT($A89,4),'Auto Responses'!$N$4:$O$38,2,0)&amp;""</f>
        <v xml:space="preserve"> Assessment of Third Parties</v>
      </c>
      <c r="B88" s="22"/>
      <c r="C88" s="31"/>
      <c r="D88" s="31"/>
      <c r="E88" s="327"/>
      <c r="F88" s="128" t="s">
        <v>632</v>
      </c>
      <c r="G88" s="331" t="s">
        <v>627</v>
      </c>
      <c r="H88" s="331" t="s">
        <v>628</v>
      </c>
      <c r="I88" s="331" t="s">
        <v>629</v>
      </c>
      <c r="J88" s="331" t="s">
        <v>630</v>
      </c>
      <c r="K88" s="331" t="s">
        <v>631</v>
      </c>
    </row>
    <row r="89" spans="1:12" s="29" customFormat="1" ht="409.5" x14ac:dyDescent="0.25">
      <c r="A89" s="19" t="str">
        <f>Organization!$A$30</f>
        <v>THRD-01</v>
      </c>
      <c r="B89" s="20" t="str">
        <f>VLOOKUP($A89,Organization!$A$13:$E$67,2,0)&amp;""</f>
        <v>Do you perform security assessments of third-party companies with which you share data (e.g., hosting providers, cloud services, PaaS, IaaS, SaaS)?*</v>
      </c>
      <c r="C89" s="45" t="str">
        <f>VLOOKUP($A89,Organization!$A$13:$E$67,3,0)&amp;""</f>
        <v>Yes</v>
      </c>
      <c r="D89" s="34" t="str">
        <f>IF(LEFT(VLOOKUP($A89,Organization!$A$13:$E$67,5,0),21)='Auto Responses'!$A$32,'Auto Responses'!$A$33,VLOOKUP($A89,Organization!$A$13:$E$67,4,0))&amp;""</f>
        <v>Yes. Third parties with which Preservica shares data are governed by Preservica's Supplier Management Policy and reviewed at least annually under its critical supplier review process, which is required by Preservica's ISO/IEC 27001:2022 and ISO 9001:2015 certified management systems and is further audited as part of Preservica's SOC 2 Type II report. For Preservica's cloud infrastructure providers, physical security of the data centre facilities is the provider's responsibility under their own independently audited certifications and attestations, such as ISO 27001 and SOC 2; Preservica reviews those certifications and attestations at least annually. Preservica does not operate its own data centres. Preservica accepts responsibility for its sub-processors under its standard Terms and Conditions. Preservica also ensures, through contractual or equivalent means, that third parties and consultants receive security awareness training equal to or greater than that required of Preservica's own employees.</v>
      </c>
      <c r="E89" s="326" t="str">
        <f>VLOOKUP($A89,Organization!$A$13:$E$67,5,0)&amp;""</f>
        <v>Provide a summary of your practices that assures that the third party will be subject to the appropriate standards regarding security, service recoverability, and confidentiality.</v>
      </c>
      <c r="F89" s="191"/>
      <c r="G89" s="30" t="str">
        <f>VLOOKUP($A89,Questions!$A$2:$X$333,21,0)&amp;""</f>
        <v>Yes</v>
      </c>
      <c r="H89" s="181"/>
      <c r="I89" s="45" t="str">
        <f>VLOOKUP($A89,Questions!$A$2:$X$333,23,0)&amp;""</f>
        <v>Critical Importance</v>
      </c>
      <c r="J89" s="181"/>
      <c r="K89" s="48" t="b">
        <v>0</v>
      </c>
      <c r="L89" s="1"/>
    </row>
    <row r="90" spans="1:12" s="29" customFormat="1" ht="409.5" x14ac:dyDescent="0.25">
      <c r="A90" s="19" t="str">
        <f>Organization!$A$31</f>
        <v>THRD-02</v>
      </c>
      <c r="B90" s="20" t="str">
        <f>VLOOKUP($A90,Organization!$A$13:$E$67,2,0)&amp;""</f>
        <v>Do you have contractual language in place with third parties governing access to institutional data?*</v>
      </c>
      <c r="C90" s="45" t="str">
        <f>VLOOKUP($A90,Organization!$A$13:$E$67,3,0)&amp;""</f>
        <v>Yes</v>
      </c>
      <c r="D90" s="34" t="str">
        <f>IF(LEFT(VLOOKUP($A90,Organization!$A$13:$E$67,5,0),21)='Auto Responses'!$A$32,'Auto Responses'!$A$33,VLOOKUP($A90,Organization!$A$13:$E$67,4,0))&amp;""</f>
        <v>Yes. Preservica's sub-processors, and the reason institutional data is shared with each, are: Amazon Web Services — cloud infrastructure hosting the SaaS application and the storage of customer content, where selected in the customer's Order Form; Microsoft Azure — cloud infrastructure hosting the SaaS application and the storage of customer content, where selected in the customer's Order Form; Cloudflare — edge network services including web application firewall and DDoS protection for customer production domains, applicable to Professional edition and above. Sub-processors are approved and used in a region-dependent manner consistent with the customer's contracted data residency requirements, and Preservica accepts responsibility for its sub-processors under its standard Terms and Conditions.</v>
      </c>
      <c r="E90" s="326" t="str">
        <f>VLOOKUP($A90,Organization!$A$13:$E$67,5,0)&amp;""</f>
        <v>List each third party and why institutional data is shared with them. Format example: [Third Party Name] - Reason</v>
      </c>
      <c r="F90" s="191"/>
      <c r="G90" s="30" t="str">
        <f>VLOOKUP($A90,Questions!$A$2:$X$333,21,0)&amp;""</f>
        <v>Yes</v>
      </c>
      <c r="H90" s="181"/>
      <c r="I90" s="45" t="str">
        <f>VLOOKUP($A90,Questions!$A$2:$X$333,23,0)&amp;""</f>
        <v>Critical Importance</v>
      </c>
      <c r="J90" s="181"/>
      <c r="K90" s="48" t="b">
        <v>0</v>
      </c>
      <c r="L90" s="1"/>
    </row>
    <row r="91" spans="1:12" s="29" customFormat="1" ht="409.5" x14ac:dyDescent="0.25">
      <c r="A91" s="19" t="str">
        <f>Organization!$A$32</f>
        <v>THRD-03</v>
      </c>
      <c r="B91" s="20" t="str">
        <f>VLOOKUP($A91,Organization!$A$13:$E$67,2,0)&amp;""</f>
        <v>Do the contracts in place with these third parties address liability in the event of a data breach?*</v>
      </c>
      <c r="C91" s="45" t="str">
        <f>VLOOKUP($A91,Organization!$A$13:$E$67,3,0)&amp;""</f>
        <v>Yes</v>
      </c>
      <c r="D91" s="34" t="str">
        <f>IF(LEFT(VLOOKUP($A91,Organization!$A$13:$E$67,5,0),21)='Auto Responses'!$A$32,'Auto Responses'!$A$33,VLOOKUP($A91,Organization!$A$13:$E$67,4,0))&amp;""</f>
        <v>Yes. Preservica accepts responsibility for its sub-processors under its standard Terms and Conditions, so the institution's contractual recourse in the event of a breach involving a sub-processor is to Preservica. Preservica's own standard Terms and Conditions set out its data breach obligations to the customer, including notification commitments. Preservica's contracts with its hyperscale cloud infrastructure providers are those providers' standard terms, which are not individually negotiable by any customer at that scale; assurance over those providers is obtained instead through their independently audited certifications and attestations, reviewed by Preservica at least annually.</v>
      </c>
      <c r="E91" s="326" t="str">
        <f>VLOOKUP($A91,Organization!$A$13:$E$67,5,0)&amp;""</f>
        <v/>
      </c>
      <c r="F91" s="191"/>
      <c r="G91" s="30" t="str">
        <f>VLOOKUP($A91,Questions!$A$2:$X$333,21,0)&amp;""</f>
        <v>Yes</v>
      </c>
      <c r="H91" s="181"/>
      <c r="I91" s="45" t="str">
        <f>VLOOKUP($A91,Questions!$A$2:$X$333,23,0)&amp;""</f>
        <v>Critical Importance</v>
      </c>
      <c r="J91" s="181"/>
      <c r="K91" s="48" t="b">
        <v>0</v>
      </c>
      <c r="L91" s="1"/>
    </row>
    <row r="92" spans="1:12" s="29" customFormat="1" ht="409.5" x14ac:dyDescent="0.25">
      <c r="A92" s="19" t="str">
        <f>Organization!$A$33</f>
        <v>THRD-04</v>
      </c>
      <c r="B92" s="20" t="str">
        <f>VLOOKUP($A92,Organization!$A$13:$E$67,2,0)&amp;""</f>
        <v>Do you have an implemented third-party management strategy?*</v>
      </c>
      <c r="C92" s="45" t="str">
        <f>VLOOKUP($A92,Organization!$A$13:$E$67,3,0)&amp;""</f>
        <v>Yes</v>
      </c>
      <c r="D92" s="34" t="str">
        <f>IF(LEFT(VLOOKUP($A92,Organization!$A$13:$E$67,5,0),21)='Auto Responses'!$A$32,'Auto Responses'!$A$33,VLOOKUP($A92,Organization!$A$13:$E$67,4,0))&amp;""</f>
        <v>Yes. Third-party management is governed by Preservica's Supplier Management Policy and supporting Supplier Management Procedure, operating within Preservica's ISO/IEC 27001:2022 and ISO 9001:2015 certified management systems and further audited as part of Preservica's SOC 2 Type II report. Critical suppliers are reviewed at least annually, with the review covering their independently audited certifications and attestations. In the context of the service itself, Preservica's third-party dependency is limited: the service is hosted on Amazon Web Services or Microsoft Azure with Cloudflare edge services for Professional edition and above, Preservica does not operate its own data centres, and Preservica does not use outsourced or offshore development.</v>
      </c>
      <c r="E92" s="326" t="str">
        <f>VLOOKUP($A92,Organization!$A$13:$E$67,5,0)&amp;""</f>
        <v>Provide additional information that may help analysts better understand your environment and how it relates to third-party solutions.</v>
      </c>
      <c r="F92" s="191"/>
      <c r="G92" s="30" t="str">
        <f>VLOOKUP($A92,Questions!$A$2:$X$333,21,0)&amp;""</f>
        <v>Yes</v>
      </c>
      <c r="H92" s="181"/>
      <c r="I92" s="45" t="str">
        <f>VLOOKUP($A92,Questions!$A$2:$X$333,23,0)&amp;""</f>
        <v>Critical Importance</v>
      </c>
      <c r="J92" s="181"/>
      <c r="K92" s="48" t="b">
        <v>0</v>
      </c>
      <c r="L92" s="1"/>
    </row>
    <row r="93" spans="1:12" s="29" customFormat="1" ht="409.5" x14ac:dyDescent="0.25">
      <c r="A93" s="19" t="str">
        <f>Organization!$A$34</f>
        <v>THRD-05</v>
      </c>
      <c r="B93" s="20" t="str">
        <f>VLOOKUP($A93,Organization!$A$13:$E$67,2,0)&amp;""</f>
        <v>Do you have a process and implemented procedures for managing your hardware supply chain (e.g., telecommunications equipment, export licensing, computing devices)?</v>
      </c>
      <c r="C93" s="45" t="str">
        <f>VLOOKUP($A93,Organization!$A$13:$E$67,3,0)&amp;""</f>
        <v>Yes</v>
      </c>
      <c r="D93" s="34" t="str">
        <f>IF(LEFT(VLOOKUP($A93,Organization!$A$13:$E$67,5,0),21)='Auto Responses'!$A$32,'Auto Responses'!$A$33,VLOOKUP($A93,Organization!$A$13:$E$67,4,0))&amp;""</f>
        <v>No hardware forms part of the Preservica SaaS service — Preservica does not operate its own data centres, and the physical infrastructure underlying the service is owned, procured and maintained by Amazon Web Services or Microsoft Azure under their own independently audited certifications and attestations, which Preservica reviews at least annually. SaaS infrastructure assets are tracked through the cloud service provider's portal and asset management tooling. Preservica does operate documented asset management processes for its own corporate IT equipment: physical IT equipment is tracked in an asset management system with a designated owner, the asset register is reviewed annually and the asset management system at least bi-annually, and on termination of employment assets are returned and recorded, with laptops reset and user data securely wiped before reuse or disposal. Use of removable media is prevented by default, with any granted exception recorded, encrypted where confidentiality or integrity is material, and securely disposed of.</v>
      </c>
      <c r="E93" s="326" t="str">
        <f>VLOOKUP($A93,Organization!$A$13:$E$67,5,0)&amp;""</f>
        <v>State what countries and/or regions this process is compliant with.</v>
      </c>
      <c r="F93" s="191"/>
      <c r="G93" s="30" t="str">
        <f>VLOOKUP($A93,Questions!$A$2:$X$333,21,0)&amp;""</f>
        <v>Yes</v>
      </c>
      <c r="H93" s="181"/>
      <c r="I93" s="45" t="str">
        <f>VLOOKUP($A93,Questions!$A$2:$X$333,23,0)&amp;""</f>
        <v>Standard Importance</v>
      </c>
      <c r="J93" s="181"/>
      <c r="K93" s="48" t="b">
        <v>0</v>
      </c>
      <c r="L93" s="1"/>
    </row>
    <row r="94" spans="1:12" s="1" customFormat="1" ht="17.5" x14ac:dyDescent="0.25">
      <c r="A94" s="63" t="str">
        <f>VLOOKUP(LEFT($A95,4),'Auto Responses'!$N$4:$O$38,2,0)&amp;""</f>
        <v xml:space="preserve"> Change Management</v>
      </c>
      <c r="B94" s="22"/>
      <c r="C94" s="31"/>
      <c r="D94" s="31"/>
      <c r="E94" s="327"/>
      <c r="F94" s="128" t="s">
        <v>632</v>
      </c>
      <c r="G94" s="331" t="s">
        <v>627</v>
      </c>
      <c r="H94" s="331" t="s">
        <v>628</v>
      </c>
      <c r="I94" s="331" t="s">
        <v>629</v>
      </c>
      <c r="J94" s="331" t="s">
        <v>630</v>
      </c>
      <c r="K94" s="331" t="s">
        <v>631</v>
      </c>
    </row>
    <row r="95" spans="1:12" s="29" customFormat="1" ht="330" x14ac:dyDescent="0.25">
      <c r="A95" s="19" t="str">
        <f>Organization!$A$36</f>
        <v>CHNG-01</v>
      </c>
      <c r="B95" s="20" t="str">
        <f>VLOOKUP($A95,Organization!$A$13:$E$67,2,0)&amp;""</f>
        <v>Will the institution be notified of major changes to your environment that could impact the institution's security posture?*</v>
      </c>
      <c r="C95" s="45" t="str">
        <f>VLOOKUP($A95,Organization!$A$13:$E$67,3,0)&amp;""</f>
        <v>Yes</v>
      </c>
      <c r="D95" s="34" t="str">
        <f>IF(LEFT(VLOOKUP($A95,Organization!$A$13:$E$67,5,0),21)='Auto Responses'!$A$32,'Auto Responses'!$A$33,VLOOKUP($A95,Organization!$A$13:$E$67,4,0))&amp;""</f>
        <v>Yes. Significant or major changes to Preservica's product environment that could affect a customer's security posture are announced in advance via Preservica's Community Hub. Releases that impact customers are additionally communicated via email and/or the customer portal. Where action is required on the customer's part in order to mitigate a vulnerability, Preservica notifies the customer directly.</v>
      </c>
      <c r="E95" s="326" t="str">
        <f>VLOOKUP($A95,Organization!$A$13:$E$67,5,0)&amp;""</f>
        <v>State how and when the institution will be notified of major changes to your environment.</v>
      </c>
      <c r="F95" s="191"/>
      <c r="G95" s="30" t="str">
        <f>VLOOKUP($A95,Questions!$A$2:$X$333,21,0)&amp;""</f>
        <v>Yes</v>
      </c>
      <c r="H95" s="181"/>
      <c r="I95" s="45" t="str">
        <f>VLOOKUP($A95,Questions!$A$2:$X$333,23,0)&amp;""</f>
        <v>Critical Importance</v>
      </c>
      <c r="J95" s="181"/>
      <c r="K95" s="48" t="b">
        <v>0</v>
      </c>
      <c r="L95" s="1"/>
    </row>
    <row r="96" spans="1:12" s="29" customFormat="1" ht="105" x14ac:dyDescent="0.25">
      <c r="A96" s="19" t="str">
        <f>Organization!$A$37</f>
        <v>CHNG-02</v>
      </c>
      <c r="B96" s="20" t="str">
        <f>VLOOKUP($A96,Organization!$A$13:$E$67,2,0)&amp;""</f>
        <v>Does the system support client customizations from one release to another?*</v>
      </c>
      <c r="C96" s="45" t="str">
        <f>VLOOKUP($A96,Organization!$A$13:$E$67,3,0)&amp;""</f>
        <v>Yes</v>
      </c>
      <c r="D96" s="34" t="str">
        <f>IF(LEFT(VLOOKUP($A96,Organization!$A$13:$E$67,5,0),21)='Auto Responses'!$A$32,'Auto Responses'!$A$33,VLOOKUP($A96,Organization!$A$13:$E$67,4,0))&amp;""</f>
        <v>Configuration changes made to the SaaS application by the customer are maintained from release to release.</v>
      </c>
      <c r="E96" s="326" t="str">
        <f>VLOOKUP($A96,Organization!$A$13:$E$67,5,0)&amp;""</f>
        <v>Describe or provide reference to your solution support strategy in regard to maintaining client customizations from one release to another.</v>
      </c>
      <c r="F96" s="191"/>
      <c r="G96" s="30" t="str">
        <f>VLOOKUP($A96,Questions!$A$2:$X$333,21,0)&amp;""</f>
        <v>Yes</v>
      </c>
      <c r="H96" s="181"/>
      <c r="I96" s="45" t="str">
        <f>VLOOKUP($A96,Questions!$A$2:$X$333,23,0)&amp;""</f>
        <v>Critical Importance</v>
      </c>
      <c r="J96" s="181"/>
      <c r="K96" s="48" t="b">
        <v>0</v>
      </c>
      <c r="L96" s="1"/>
    </row>
    <row r="97" spans="1:12" s="29" customFormat="1" ht="409.5" x14ac:dyDescent="0.25">
      <c r="A97" s="19" t="str">
        <f>Organization!$A$38</f>
        <v>CHNG-03</v>
      </c>
      <c r="B97" s="20" t="str">
        <f>VLOOKUP($A97,Organization!$A$13:$E$67,2,0)&amp;""</f>
        <v>Do you have an implemented system configuration management process (e.g., secure "gold" images, etc.)?*</v>
      </c>
      <c r="C97" s="45" t="str">
        <f>VLOOKUP($A97,Organization!$A$13:$E$67,3,0)&amp;""</f>
        <v>Yes</v>
      </c>
      <c r="D97" s="34" t="str">
        <f>IF(LEFT(VLOOKUP($A97,Organization!$A$13:$E$67,5,0),21)='Auto Responses'!$A$32,'Auto Responses'!$A$33,VLOOKUP($A97,Organization!$A$13:$E$67,4,0))&amp;""</f>
        <v>Yes. Preservica uses Infrastructure as Code for the building, provisioning and management of all infrastructure components deployed into production environments, including compute resources, databases, storage containers and network objects, and deployment and updating of the application to production environments is automated to reduce the risk of human error. Standardised system hardening and configuration baselines are applied under documented procedures, and changes to them are managed through Preservica's change management process. Software and cloud service inventories are maintained and reviewed, and configuration management is within the scope of Preservica's ISO/IEC 27001:2022 certification and its SOC 2 Type II audit.</v>
      </c>
      <c r="E97" s="326" t="str">
        <f>VLOOKUP($A97,Organization!$A$13:$E$67,5,0)&amp;""</f>
        <v>Summarize your implemented system configuration management process.</v>
      </c>
      <c r="F97" s="191"/>
      <c r="G97" s="30" t="str">
        <f>VLOOKUP($A97,Questions!$A$2:$X$333,21,0)&amp;""</f>
        <v>Yes</v>
      </c>
      <c r="H97" s="181"/>
      <c r="I97" s="45" t="str">
        <f>VLOOKUP($A97,Questions!$A$2:$X$333,23,0)&amp;""</f>
        <v>Critical Importance</v>
      </c>
      <c r="J97" s="181"/>
      <c r="K97" s="48" t="b">
        <v>0</v>
      </c>
      <c r="L97" s="1"/>
    </row>
    <row r="98" spans="1:12" s="29" customFormat="1" ht="409.5" x14ac:dyDescent="0.25">
      <c r="A98" s="19" t="str">
        <f>Organization!$A$39</f>
        <v>CHNG-04</v>
      </c>
      <c r="B98" s="20" t="str">
        <f>VLOOKUP($A98,Organization!$A$13:$E$67,2,0)&amp;""</f>
        <v>Do you have a documented change management process?</v>
      </c>
      <c r="C98" s="45" t="str">
        <f>VLOOKUP($A98,Organization!$A$13:$E$67,3,0)&amp;""</f>
        <v>Yes</v>
      </c>
      <c r="D98" s="34" t="str">
        <f>IF(LEFT(VLOOKUP($A98,Organization!$A$13:$E$67,5,0),21)='Auto Responses'!$A$32,'Auto Responses'!$A$33,VLOOKUP($A98,Organization!$A$13:$E$67,4,0))&amp;""</f>
        <v>Yes. Changes are managed under Preservica's documented Change Management procedure, which covers authorisation, testing and approval of system changes, operates within Preservica's ISO/IEC 27001:2022 and ISO 9001:2015 certified management systems, and is independently tested as part of Preservica's SOC 2 Type II report. Changes are documented in tickets and subject to quality assurance before implementation. A Change Advisory Board, comprising the Cloud Operations team and chaired by the Operations Director as Change Manager, meets bi-weekly and approves or denies change requests on a holistic view of all changes in the period. The procedure provides for rollback of changes where necessary. Development, test and production environments are separated, testing in production is prohibited, deployment to production is automated, and production access is restricted to authorised Operations personnel.</v>
      </c>
      <c r="E98" s="326" t="str">
        <f>VLOOKUP($A98,Organization!$A$13:$E$67,5,0)&amp;""</f>
        <v>Summarize your current change management process.</v>
      </c>
      <c r="F98" s="191"/>
      <c r="G98" s="30" t="str">
        <f>VLOOKUP($A98,Questions!$A$2:$X$333,21,0)&amp;""</f>
        <v>Yes</v>
      </c>
      <c r="H98" s="181"/>
      <c r="I98" s="45" t="str">
        <f>VLOOKUP($A98,Questions!$A$2:$X$333,23,0)&amp;""</f>
        <v>Standard Importance</v>
      </c>
      <c r="J98" s="181"/>
      <c r="K98" s="48" t="b">
        <v>0</v>
      </c>
      <c r="L98" s="1"/>
    </row>
    <row r="99" spans="1:12" s="29" customFormat="1" ht="409.5" x14ac:dyDescent="0.25">
      <c r="A99" s="19" t="str">
        <f>Organization!$A$40</f>
        <v>CHNG-05</v>
      </c>
      <c r="B99" s="20" t="str">
        <f>VLOOKUP($A99,Organization!$A$13:$E$67,2,0)&amp;""</f>
        <v>Does your change management process minimally include authorization, impact analysis, testing, and validation before moving changes to production?</v>
      </c>
      <c r="C99" s="45" t="str">
        <f>VLOOKUP($A99,Organization!$A$13:$E$67,3,0)&amp;""</f>
        <v>Yes</v>
      </c>
      <c r="D99" s="34" t="str">
        <f>IF(LEFT(VLOOKUP($A99,Organization!$A$13:$E$67,5,0),21)='Auto Responses'!$A$32,'Auto Responses'!$A$33,VLOOKUP($A99,Organization!$A$13:$E$67,4,0))&amp;""</f>
        <v>Yes — all four elements are implemented. Impact analysis: the Change Advisory Board reviews and approves or denies change requests on a holistic view of all changes in the period. Authorisation: changes are documented in tickets, subject to quality assurance before implementation, and approved by the Change Advisory Board, chaired by the Operations Director as Change Manager. Testing and validation: source code changes require review and approval by a second person before acceptance into the main branch and are additionally reviewed by static application security testing tooling; development, test and production environments are separated and testing in production is prohibited; dynamic application security testing is performed as a release gate on every release candidate; and customer production data is not used in test environments. Restriction of production implementation: deployment to production is automated and production access is restricted to authorised Operations personnel. The process operates within Preservica's ISO/IEC 27001:2022 certification and is independently tested as part of Preservica's SOC 2 Type II report.</v>
      </c>
      <c r="E99" s="326" t="str">
        <f>VLOOKUP($A99,Organization!$A$13:$E$67,5,0)&amp;""</f>
        <v>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v>
      </c>
      <c r="F99" s="191"/>
      <c r="G99" s="30" t="str">
        <f>VLOOKUP($A99,Questions!$A$2:$X$333,21,0)&amp;""</f>
        <v>Yes</v>
      </c>
      <c r="H99" s="181"/>
      <c r="I99" s="45" t="str">
        <f>VLOOKUP($A99,Questions!$A$2:$X$333,23,0)&amp;""</f>
        <v>Standard Importance</v>
      </c>
      <c r="J99" s="181"/>
      <c r="K99" s="48" t="b">
        <v>0</v>
      </c>
      <c r="L99" s="1"/>
    </row>
    <row r="100" spans="1:12" s="29" customFormat="1" ht="409.5" x14ac:dyDescent="0.25">
      <c r="A100" s="19" t="str">
        <f>Organization!$A$41</f>
        <v>CHNG-06</v>
      </c>
      <c r="B100" s="20" t="str">
        <f>VLOOKUP($A100,Organization!$A$13:$E$67,2,0)&amp;""</f>
        <v>Does your change management process verify that all required third-party libraries and dependencies are still supported with each major change?</v>
      </c>
      <c r="C100" s="45" t="str">
        <f>VLOOKUP($A100,Organization!$A$13:$E$67,3,0)&amp;""</f>
        <v>Yes</v>
      </c>
      <c r="D100" s="34" t="str">
        <f>IF(LEFT(VLOOKUP($A100,Organization!$A$13:$E$67,5,0),21)='Auto Responses'!$A$32,'Auto Responses'!$A$33,VLOOKUP($A100,Organization!$A$13:$E$67,4,0))&amp;""</f>
        <v>Yes. All new use of third-party and open-source components must be reviewed and approved before adoption into any Preservica product or build pipeline, and use of such components in the platform's services and infrastructure is recorded in an authoritative register that is reviewed annually. Automated static analysis with dependency scanning is integrated into developer IDEs and enforced at every pull request, checking for vulnerabilities, licence issues and secrets. To the extent reasonably and commercially possible, Preservica keeps all components used within the SaaS platform up to date and in line with vendor-supported versions. Any new component carrying a licence classified as high risk must be notified to Legal and the Chief Technology Officer before adoption.</v>
      </c>
      <c r="E100" s="326" t="str">
        <f>VLOOKUP($A100,Organization!$A$13:$E$67,5,0)&amp;""</f>
        <v>Please describe your program to track these dependencies.</v>
      </c>
      <c r="F100" s="191"/>
      <c r="G100" s="30" t="str">
        <f>VLOOKUP($A100,Questions!$A$2:$X$333,21,0)&amp;""</f>
        <v>Yes</v>
      </c>
      <c r="H100" s="181"/>
      <c r="I100" s="45" t="str">
        <f>VLOOKUP($A100,Questions!$A$2:$X$333,23,0)&amp;""</f>
        <v>Standard Importance</v>
      </c>
      <c r="J100" s="181"/>
      <c r="K100" s="48" t="b">
        <v>0</v>
      </c>
      <c r="L100" s="1"/>
    </row>
    <row r="101" spans="1:12" s="29" customFormat="1" ht="409.5" x14ac:dyDescent="0.25">
      <c r="A101" s="19" t="str">
        <f>Organization!$A$42</f>
        <v>CHNG-07</v>
      </c>
      <c r="B101" s="20" t="str">
        <f>VLOOKUP($A101,Organization!$A$13:$E$67,2,0)&amp;""</f>
        <v>Do you have policy and procedure, currently implemented, managing how critical patches are applied to all systems and applications?</v>
      </c>
      <c r="C101" s="45" t="str">
        <f>VLOOKUP($A101,Organization!$A$13:$E$67,3,0)&amp;""</f>
        <v>Yes</v>
      </c>
      <c r="D101" s="34" t="str">
        <f>IF(LEFT(VLOOKUP($A101,Organization!$A$13:$E$67,5,0),21)='Auto Responses'!$A$32,'Auto Responses'!$A$33,VLOOKUP($A101,Organization!$A$13:$E$67,4,0))&amp;""</f>
        <v>Yes. Preservica has an established Vulnerability and Patch Management Policy covering the identification, assessment, mitigation and closure of vulnerabilities, audited as part of Preservica's SOC 2 Type II report and within the scope of its ISO/IEC 27001:2022 certification. Identification: Preservica maintains a threat management capability drawing on software vendors, trusted third parties, open-source intelligence, customer feedback and information security communities, with active subscriptions to threat intelligence and vulnerability feeds. Static application security testing, including dependency analysis, is integrated into developer IDEs and runs on every pull request; dynamic application security testing is performed at minimum on every release candidate; infrastructure vulnerability scanning runs continuously and is reviewed at least monthly; and an independent CREST-certified manual penetration test is performed at least annually. Assessment: vulnerabilities are assessed and remediated in line with the risk they pose as determined by Preservica's Information Security team, taking account of the vendor's own rating including CVSS score where available, the applicability and configuration of the affected component within Preservica's environment, and any existing compensating controls. Application: patches are applied through Preservica's change management process, with the highest-severity issues expedited; automated deployment to production enables rapid rollout across environments.</v>
      </c>
      <c r="E101" s="326" t="str">
        <f>VLOOKUP($A101,Organization!$A$13:$E$67,5,0)&amp;""</f>
        <v>Summarize the policy and procedure(s) managing how critical patches are applied to systems and applications.</v>
      </c>
      <c r="F101" s="191"/>
      <c r="G101" s="30" t="str">
        <f>VLOOKUP($A101,Questions!$A$2:$X$333,21,0)&amp;""</f>
        <v>Yes</v>
      </c>
      <c r="H101" s="181"/>
      <c r="I101" s="45" t="str">
        <f>VLOOKUP($A101,Questions!$A$2:$X$333,23,0)&amp;""</f>
        <v>Standard Importance</v>
      </c>
      <c r="J101" s="181"/>
      <c r="K101" s="48" t="b">
        <v>0</v>
      </c>
      <c r="L101" s="1"/>
    </row>
    <row r="102" spans="1:12" s="29" customFormat="1" ht="409.5" x14ac:dyDescent="0.25">
      <c r="A102" s="19" t="str">
        <f>Organization!$A$43</f>
        <v>CHNG-08</v>
      </c>
      <c r="B102" s="20" t="str">
        <f>VLOOKUP($A102,Organization!$A$13:$E$67,2,0)&amp;""</f>
        <v>Have you implemented policies and procedures that guide how security risks are mitigated until patches can be applied?</v>
      </c>
      <c r="C102" s="45" t="str">
        <f>VLOOKUP($A102,Organization!$A$13:$E$67,3,0)&amp;""</f>
        <v>Yes</v>
      </c>
      <c r="D102" s="34" t="str">
        <f>IF(LEFT(VLOOKUP($A102,Organization!$A$13:$E$67,5,0),21)='Auto Responses'!$A$32,'Auto Responses'!$A$33,VLOOKUP($A102,Organization!$A$13:$E$67,4,0))&amp;""</f>
        <v>Yes. Preservica's Vulnerability and Patch Management Policy requires that every vulnerability be mitigated either through a supplied patch or through a compensating control, within a timeline commensurate with the risk the vulnerability poses to the affected information system as assessed by Preservica's Information Security team. Where a patch is not yet available or cannot yet be safely applied, compensating controls are applied in the interim; these draw on Preservica's layered control environment, including web application firewall protection of customer production domains, deny-by-default network access controls, network and host-based intrusion detection and prevention with continuous monitoring, and restriction or isolation of the affected component where appropriate. Assessment of which control to apply takes account of the applicability and configuration of the affected component within Preservica's environment and the controls already in place.</v>
      </c>
      <c r="E102" s="326" t="str">
        <f>VLOOKUP($A102,Organization!$A$13:$E$67,5,0)&amp;""</f>
        <v>Summarize the policy and procedure(s) guiding risk mitigation practices before critical patches can be applied.</v>
      </c>
      <c r="F102" s="191"/>
      <c r="G102" s="30" t="str">
        <f>VLOOKUP($A102,Questions!$A$2:$X$333,21,0)&amp;""</f>
        <v>Yes</v>
      </c>
      <c r="H102" s="181"/>
      <c r="I102" s="45" t="str">
        <f>VLOOKUP($A102,Questions!$A$2:$X$333,23,0)&amp;""</f>
        <v>Standard Importance</v>
      </c>
      <c r="J102" s="181"/>
      <c r="K102" s="48" t="b">
        <v>0</v>
      </c>
      <c r="L102" s="1"/>
    </row>
    <row r="103" spans="1:12" s="29" customFormat="1" ht="285" x14ac:dyDescent="0.25">
      <c r="A103" s="19" t="str">
        <f>Organization!$A$44</f>
        <v>CHNG-09</v>
      </c>
      <c r="B103" s="20" t="str">
        <f>VLOOKUP($A103,Organization!$A$13:$E$67,2,0)&amp;""</f>
        <v>Do clients have the option to not participate in or postpone an upgrade to a new release?</v>
      </c>
      <c r="C103" s="45" t="str">
        <f>VLOOKUP($A103,Organization!$A$13:$E$67,3,0)&amp;""</f>
        <v>No</v>
      </c>
      <c r="D103" s="34" t="str">
        <f>IF(LEFT(VLOOKUP($A103,Organization!$A$13:$E$67,5,0),21)='Auto Responses'!$A$32,'Auto Responses'!$A$33,VLOOKUP($A103,Organization!$A$13:$E$67,4,0))&amp;""</f>
        <v>Preservica provides a commercial-off-the-shelf SaaS platform delivered identically to all customers. All customers are maintained on the latest version, so customers cannot postpone or opt out of a release. This uniformity means every customer receives security fixes and improvements at the same time, without a supported legacy version accumulating unpatched risk.</v>
      </c>
      <c r="E103" s="326" t="str">
        <f>VLOOKUP($A103,Organization!$A$13:$E$67,5,0)&amp;""</f>
        <v>Summarize why clients do not have alternative release options.</v>
      </c>
      <c r="F103" s="191"/>
      <c r="G103" s="30" t="str">
        <f>VLOOKUP($A103,Questions!$A$2:$X$333,21,0)&amp;""</f>
        <v>Yes</v>
      </c>
      <c r="H103" s="181"/>
      <c r="I103" s="45" t="str">
        <f>VLOOKUP($A103,Questions!$A$2:$X$333,23,0)&amp;""</f>
        <v>Minor Importance</v>
      </c>
      <c r="J103" s="181"/>
      <c r="K103" s="48" t="b">
        <v>0</v>
      </c>
      <c r="L103" s="1"/>
    </row>
    <row r="104" spans="1:12" s="29" customFormat="1" ht="180" x14ac:dyDescent="0.25">
      <c r="A104" s="19" t="str">
        <f>Organization!$A$45</f>
        <v>CHNG-10</v>
      </c>
      <c r="B104" s="20" t="str">
        <f>VLOOKUP($A104,Organization!$A$13:$E$67,2,0)&amp;""</f>
        <v>Do you have a fully implemented solution support strategy that defines how many concurrent versions you support?</v>
      </c>
      <c r="C104" s="45" t="str">
        <f>VLOOKUP($A104,Organization!$A$13:$E$67,3,0)&amp;""</f>
        <v>Yes</v>
      </c>
      <c r="D104" s="34" t="str">
        <f>IF(LEFT(VLOOKUP($A104,Organization!$A$13:$E$67,5,0),21)='Auto Responses'!$A$32,'Auto Responses'!$A$33,VLOOKUP($A104,Organization!$A$13:$E$67,4,0))&amp;""</f>
        <v>Preservica targets a whole release approximately every four to eight weeks. As a SaaS platform all customers are moved onto the latest version; Preservica supports the latest version, and one prior version for the duration of a new version rollout.</v>
      </c>
      <c r="E104" s="326" t="str">
        <f>VLOOKUP($A104,Organization!$A$13:$E$67,5,0)&amp;""</f>
        <v>Describe or provide a reference to your solution support strategy in regard to maintaining software currency (i.e., how many concurrent versions are you willing to run and support?).</v>
      </c>
      <c r="F104" s="191"/>
      <c r="G104" s="30" t="str">
        <f>VLOOKUP($A104,Questions!$A$2:$X$333,21,0)&amp;""</f>
        <v>Yes</v>
      </c>
      <c r="H104" s="181"/>
      <c r="I104" s="45" t="str">
        <f>VLOOKUP($A104,Questions!$A$2:$X$333,23,0)&amp;""</f>
        <v>Minor Importance</v>
      </c>
      <c r="J104" s="181"/>
      <c r="K104" s="48" t="b">
        <v>0</v>
      </c>
      <c r="L104" s="1"/>
    </row>
    <row r="105" spans="1:12" s="29" customFormat="1" ht="135" x14ac:dyDescent="0.25">
      <c r="A105" s="19" t="str">
        <f>Organization!$A$46</f>
        <v>CHNG-11</v>
      </c>
      <c r="B105" s="20" t="str">
        <f>VLOOKUP($A105,Organization!$A$13:$E$67,2,0)&amp;""</f>
        <v>Do you have a release schedule for product updates?</v>
      </c>
      <c r="C105" s="45" t="str">
        <f>VLOOKUP($A105,Organization!$A$13:$E$67,3,0)&amp;""</f>
        <v>Yes</v>
      </c>
      <c r="D105" s="34" t="str">
        <f>IF(LEFT(VLOOKUP($A105,Organization!$A$13:$E$67,5,0),21)='Auto Responses'!$A$32,'Auto Responses'!$A$33,VLOOKUP($A105,Organization!$A$13:$E$67,4,0))&amp;""</f>
        <v>Preservica targets a whole release approximately every four to eight weeks. Releases are communicated in advance via Preservica's Community Hub.</v>
      </c>
      <c r="E105" s="326" t="str">
        <f>VLOOKUP($A105,Organization!$A$13:$E$67,5,0)&amp;""</f>
        <v>Provide a reference to this solution's release schedule.</v>
      </c>
      <c r="F105" s="191"/>
      <c r="G105" s="30" t="str">
        <f>VLOOKUP($A105,Questions!$A$2:$X$333,21,0)&amp;""</f>
        <v>Yes</v>
      </c>
      <c r="H105" s="181"/>
      <c r="I105" s="45" t="str">
        <f>VLOOKUP($A105,Questions!$A$2:$X$333,23,0)&amp;""</f>
        <v>Minor Importance</v>
      </c>
      <c r="J105" s="181"/>
      <c r="K105" s="48" t="b">
        <v>0</v>
      </c>
      <c r="L105" s="1"/>
    </row>
    <row r="106" spans="1:12" s="29" customFormat="1" ht="45" x14ac:dyDescent="0.25">
      <c r="A106" s="19" t="str">
        <f>Organization!$A$47</f>
        <v>CHNG-12</v>
      </c>
      <c r="B106" s="20" t="str">
        <f>VLOOKUP($A106,Organization!$A$13:$E$67,2,0)&amp;""</f>
        <v>Do you have a technology roadmap, for at least the next two years, for enhancements and bug fixes for the solution being assessed?</v>
      </c>
      <c r="C106" s="45" t="str">
        <f>VLOOKUP($A106,Organization!$A$13:$E$67,3,0)&amp;""</f>
        <v>Yes</v>
      </c>
      <c r="D106" s="34" t="str">
        <f>IF(LEFT(VLOOKUP($A106,Organization!$A$13:$E$67,5,0),21)='Auto Responses'!$A$32,'Auto Responses'!$A$33,VLOOKUP($A106,Organization!$A$13:$E$67,4,0))&amp;""</f>
        <v>We do not disclose this information.</v>
      </c>
      <c r="E106" s="326" t="str">
        <f>VLOOKUP($A106,Organization!$A$13:$E$67,5,0)&amp;""</f>
        <v>Provide a reference to your technology roadmap.</v>
      </c>
      <c r="F106" s="191"/>
      <c r="G106" s="30" t="str">
        <f>VLOOKUP($A106,Questions!$A$2:$X$333,21,0)&amp;""</f>
        <v>Yes</v>
      </c>
      <c r="H106" s="181"/>
      <c r="I106" s="45" t="str">
        <f>VLOOKUP($A106,Questions!$A$2:$X$333,23,0)&amp;""</f>
        <v>Minor Importance</v>
      </c>
      <c r="J106" s="181"/>
      <c r="K106" s="48" t="b">
        <v>0</v>
      </c>
      <c r="L106" s="1"/>
    </row>
    <row r="107" spans="1:12" s="29" customFormat="1" ht="360" x14ac:dyDescent="0.25">
      <c r="A107" s="19" t="str">
        <f>Organization!$A$48</f>
        <v>CHNG-13</v>
      </c>
      <c r="B107" s="20" t="str">
        <f>VLOOKUP($A107,Organization!$A$13:$E$67,2,0)&amp;""</f>
        <v>Can solution updates be completed without institutional involvement (i.e., technically or organizationally)?</v>
      </c>
      <c r="C107" s="45" t="str">
        <f>VLOOKUP($A107,Organization!$A$13:$E$67,3,0)&amp;""</f>
        <v>Yes</v>
      </c>
      <c r="D107" s="34" t="str">
        <f>IF(LEFT(VLOOKUP($A107,Organization!$A$13:$E$67,5,0),21)='Auto Responses'!$A$32,'Auto Responses'!$A$33,VLOOKUP($A107,Organization!$A$13:$E$67,4,0))&amp;""</f>
        <v>Yes. Preservica manages the deployment and updating of the application to production environments through automated processes, and no technical or organisational action is required from the institution for a solution update to complete. All customers are maintained on the latest version. Where a change could affect a customer's security posture, or where action is required on the customer's part, Preservica notifies the customer.</v>
      </c>
      <c r="E107" s="326" t="str">
        <f>VLOOKUP($A107,Organization!$A$13:$E$67,5,0)&amp;""</f>
        <v/>
      </c>
      <c r="F107" s="191"/>
      <c r="G107" s="30" t="str">
        <f>VLOOKUP($A107,Questions!$A$2:$X$333,21,0)&amp;""</f>
        <v>Yes</v>
      </c>
      <c r="H107" s="181"/>
      <c r="I107" s="45" t="str">
        <f>VLOOKUP($A107,Questions!$A$2:$X$333,23,0)&amp;""</f>
        <v>Minor Importance</v>
      </c>
      <c r="J107" s="181"/>
      <c r="K107" s="48" t="b">
        <v>0</v>
      </c>
      <c r="L107" s="1"/>
    </row>
    <row r="108" spans="1:12" s="29" customFormat="1" ht="180" x14ac:dyDescent="0.25">
      <c r="A108" s="19" t="str">
        <f>Organization!$A$49</f>
        <v>CHNG-14</v>
      </c>
      <c r="B108" s="20" t="str">
        <f>VLOOKUP($A108,Organization!$A$13:$E$67,2,0)&amp;""</f>
        <v>Are upgrades or system changes installed during off-peak hours or in a manner that does not impact the customer?</v>
      </c>
      <c r="C108" s="45" t="str">
        <f>VLOOKUP($A108,Organization!$A$13:$E$67,3,0)&amp;""</f>
        <v>Yes</v>
      </c>
      <c r="D108" s="34" t="str">
        <f>IF(LEFT(VLOOKUP($A108,Organization!$A$13:$E$67,5,0),21)='Auto Responses'!$A$32,'Auto Responses'!$A$33,VLOOKUP($A108,Organization!$A$13:$E$67,4,0))&amp;""</f>
        <v>Planned maintenance windows are defined in the customer's contract terms. Planned maintenance and other agreed exclusions are excluded from Preservica's Application Availability SLA of 99.5%, measured monthly.</v>
      </c>
      <c r="E108" s="326" t="str">
        <f>VLOOKUP($A108,Organization!$A$13:$E$67,5,0)&amp;""</f>
        <v>Define current off-peak hours, including time zones as necessary.</v>
      </c>
      <c r="F108" s="191"/>
      <c r="G108" s="30" t="str">
        <f>VLOOKUP($A108,Questions!$A$2:$X$333,21,0)&amp;""</f>
        <v>Yes</v>
      </c>
      <c r="H108" s="181"/>
      <c r="I108" s="45" t="str">
        <f>VLOOKUP($A108,Questions!$A$2:$X$333,23,0)&amp;""</f>
        <v>Minor Importance</v>
      </c>
      <c r="J108" s="181"/>
      <c r="K108" s="48" t="b">
        <v>0</v>
      </c>
      <c r="L108" s="1"/>
    </row>
    <row r="109" spans="1:12" s="29" customFormat="1" ht="330" x14ac:dyDescent="0.25">
      <c r="A109" s="19" t="str">
        <f>Organization!$A$50</f>
        <v>CHNG-15</v>
      </c>
      <c r="B109" s="20" t="str">
        <f>VLOOKUP($A109,Organization!$A$13:$E$67,2,0)&amp;""</f>
        <v>Do procedures exist to provide that emergency changes are documented and authorized (including after-the-fact approval)?</v>
      </c>
      <c r="C109" s="45" t="str">
        <f>VLOOKUP($A109,Organization!$A$13:$E$67,3,0)&amp;""</f>
        <v>Yes</v>
      </c>
      <c r="D109" s="34" t="str">
        <f>IF(LEFT(VLOOKUP($A109,Organization!$A$13:$E$67,5,0),21)='Auto Responses'!$A$32,'Auto Responses'!$A$33,VLOOKUP($A109,Organization!$A$13:$E$67,4,0))&amp;""</f>
        <v>An emergency change is one that must be evaluated, assessed and either approved or rejected in a short space of time. Emergency changes are recorded in tickets in the same way as all other changes, are expedited through Preservica's change management process, and are subject to the same rollback provisions. Where service availability is affected and the Change Manager is not available, the change may be actioned before approval is obtained.</v>
      </c>
      <c r="E109" s="326" t="str">
        <f>VLOOKUP($A109,Organization!$A$13:$E$67,5,0)&amp;""</f>
        <v>Summarize implemented procedures ensuring that emergency changes are documented and authorized.</v>
      </c>
      <c r="F109" s="191"/>
      <c r="G109" s="30" t="str">
        <f>VLOOKUP($A109,Questions!$A$2:$X$333,21,0)&amp;""</f>
        <v>Yes</v>
      </c>
      <c r="H109" s="181"/>
      <c r="I109" s="45" t="str">
        <f>VLOOKUP($A109,Questions!$A$2:$X$333,23,0)&amp;""</f>
        <v>Minor Importance</v>
      </c>
      <c r="J109" s="181"/>
      <c r="K109" s="48" t="b">
        <v>0</v>
      </c>
      <c r="L109" s="1"/>
    </row>
    <row r="110" spans="1:12" s="29" customFormat="1" ht="409.5" x14ac:dyDescent="0.25">
      <c r="A110" s="19" t="str">
        <f>Organization!$A$51</f>
        <v>CHNG-16</v>
      </c>
      <c r="B110" s="20" t="str">
        <f>VLOOKUP($A110,Organization!$A$13:$E$67,2,0)&amp;""</f>
        <v>Do you have a systems management and configuration strategy that encompasses servers, appliances, cloud services, applications, and mobile devices (company and employee owned)?</v>
      </c>
      <c r="C110" s="45" t="str">
        <f>VLOOKUP($A110,Organization!$A$13:$E$67,3,0)&amp;""</f>
        <v>Yes</v>
      </c>
      <c r="D110" s="34" t="str">
        <f>IF(LEFT(VLOOKUP($A110,Organization!$A$13:$E$67,5,0),21)='Auto Responses'!$A$32,'Auto Responses'!$A$33,VLOOKUP($A110,Organization!$A$13:$E$67,4,0))&amp;""</f>
        <v>Yes. Preservica applies standardised hardening and configuration baselines, supported by its Vulnerability and Patch Management Policy and procedures, and uses Infrastructure as Code for the building, provisioning and management of all infrastructure components deployed into production. The strategy is underpinned by documented asset management: an inventory of asset categories with a designated owner for each, a software inventory and a cloud services register, physical IT equipment tracked in an asset management system, and SaaS infrastructure assets tracked through the cloud service provider's tooling. The asset register is reviewed annually and the asset management system at least bi-annually. Cloud service use is governed by a Cloud Computing Policy, and use of employee-owned devices by a BYOD Policy; access to all systems, on-premises and cloud, is granted on least-privilege and need-to-know principles using role-based access control. Use of removable media is prevented by default, with any granted exception recorded and encrypted where confidentiality or integrity is material. Preservica does not operate its own data centres.</v>
      </c>
      <c r="E110" s="326" t="str">
        <f>VLOOKUP($A110,Organization!$A$13:$E$67,5,0)&amp;""</f>
        <v>Summarize your systems management and configuration strategy.</v>
      </c>
      <c r="F110" s="191"/>
      <c r="G110" s="30" t="str">
        <f>VLOOKUP($A110,Questions!$A$2:$X$333,21,0)&amp;""</f>
        <v>Yes</v>
      </c>
      <c r="H110" s="181"/>
      <c r="I110" s="45" t="str">
        <f>VLOOKUP($A110,Questions!$A$2:$X$333,23,0)&amp;""</f>
        <v>Minor Importance</v>
      </c>
      <c r="J110" s="181"/>
      <c r="K110" s="48" t="b">
        <v>0</v>
      </c>
      <c r="L110" s="1"/>
    </row>
    <row r="111" spans="1:12" s="1" customFormat="1" ht="17.5" x14ac:dyDescent="0.25">
      <c r="A111" s="63" t="str">
        <f>VLOOKUP(LEFT($A112,4),'Auto Responses'!$N$4:$O$38,2,0)&amp;""</f>
        <v xml:space="preserve"> Policies, Processes, and Procedures</v>
      </c>
      <c r="B111" s="22"/>
      <c r="C111" s="31"/>
      <c r="D111" s="31"/>
      <c r="E111" s="327"/>
      <c r="F111" s="128" t="s">
        <v>632</v>
      </c>
      <c r="G111" s="331" t="s">
        <v>627</v>
      </c>
      <c r="H111" s="331" t="s">
        <v>628</v>
      </c>
      <c r="I111" s="331" t="s">
        <v>629</v>
      </c>
      <c r="J111" s="331" t="s">
        <v>630</v>
      </c>
      <c r="K111" s="331" t="s">
        <v>631</v>
      </c>
    </row>
    <row r="112" spans="1:12" s="29" customFormat="1" ht="409.5" x14ac:dyDescent="0.25">
      <c r="A112" s="19" t="str">
        <f>Organization!$A$53</f>
        <v>PPPR-01</v>
      </c>
      <c r="B112" s="20" t="str">
        <f>VLOOKUP($A112,Organization!$A$13:$E$67,2,0)&amp;""</f>
        <v>Do you have a documented patch management process?*</v>
      </c>
      <c r="C112" s="45" t="str">
        <f>VLOOKUP($A112,Organization!$A$13:$E$67,3,0)&amp;""</f>
        <v>Yes</v>
      </c>
      <c r="D112" s="34" t="str">
        <f>IF(LEFT(VLOOKUP($A112,Organization!$A$13:$E$67,5,0),21)='Auto Responses'!$A$32,'Auto Responses'!$A$33,VLOOKUP($A112,Organization!$A$13:$E$67,4,0))&amp;""</f>
        <v>Yes. Preservica has an established Vulnerability and Patch Management Policy covering the identification, assessment, mitigation and closure of vulnerabilities. The policy requires that vulnerabilities be mitigated, either through a supplied patch or through a compensating control, within a timeline commensurate with the risk the vulnerability poses to the affected information system as assessed by Preservica's Information Security team. The policy is within the scope of Preservica's ISO/IEC 27001:2022 certification and is audited as part of Preservica's SOC 2 Type II report.</v>
      </c>
      <c r="E112" s="326" t="str">
        <f>VLOOKUP($A112,Organization!$A$13:$E$67,5,0)&amp;""</f>
        <v/>
      </c>
      <c r="F112" s="191"/>
      <c r="G112" s="30" t="str">
        <f>VLOOKUP($A112,Questions!$A$2:$X$333,21,0)&amp;""</f>
        <v>Yes</v>
      </c>
      <c r="H112" s="181"/>
      <c r="I112" s="45" t="str">
        <f>VLOOKUP($A112,Questions!$A$2:$X$333,23,0)&amp;""</f>
        <v>Critical Importance</v>
      </c>
      <c r="J112" s="181"/>
      <c r="K112" s="48" t="b">
        <v>0</v>
      </c>
      <c r="L112" s="1"/>
    </row>
    <row r="113" spans="1:12" s="29" customFormat="1" ht="409.5" x14ac:dyDescent="0.25">
      <c r="A113" s="19" t="str">
        <f>Organization!$A$54</f>
        <v>PPPR-02</v>
      </c>
      <c r="B113" s="20" t="str">
        <f>VLOOKUP($A113,Organization!$A$13:$E$67,2,0)&amp;""</f>
        <v>Can your organization comply with institutional policies on privacy and data protection with regard to users of institutional systems, if required?*</v>
      </c>
      <c r="C113" s="45" t="str">
        <f>VLOOKUP($A113,Organization!$A$13:$E$67,3,0)&amp;""</f>
        <v>Yes</v>
      </c>
      <c r="D113" s="34" t="str">
        <f>IF(LEFT(VLOOKUP($A113,Organization!$A$13:$E$67,5,0),21)='Auto Responses'!$A$32,'Auto Responses'!$A$33,VLOOKUP($A113,Organization!$A$13:$E$67,4,0))&amp;""</f>
        <v>Preservica will consider institutional policies on privacy and data protection subject to contract negotiation, and will enter into a Data Processing Agreement subject to legal review. Agreements based on GDPR or UK GDPR Standard Contractual Clauses, or similar recognised frameworks, are more readily agreed than bespoke templates. In any agreement Preservica must be designated as Processor, with responsibilities aligned to the applicable legislation for that designation. Because Preservica does not determine or control the specific categories of personal data a customer chooses to process, Preservica is generally unable to complete unilaterally those sections of an agreement that require exact categories of data, data subjects or processing activities; completing a Data Processing Agreement is therefore typically a collaborative exercise between Preservica and the customer. Preservica will also complete a customer's own vendor risk assessments, security questionnaires or similar attestations of compliance on reasonable request, subject to the terms of the agreement.</v>
      </c>
      <c r="E113" s="326" t="str">
        <f>VLOOKUP($A113,Organization!$A$13:$E$67,5,0)&amp;""</f>
        <v>State that you have reviewed the institution's IT policies with regards to user privacy and data protection.</v>
      </c>
      <c r="F113" s="191"/>
      <c r="G113" s="30" t="str">
        <f>VLOOKUP($A113,Questions!$A$2:$X$333,21,0)&amp;""</f>
        <v>Yes</v>
      </c>
      <c r="H113" s="181"/>
      <c r="I113" s="45" t="str">
        <f>VLOOKUP($A113,Questions!$A$2:$X$333,23,0)&amp;""</f>
        <v>Critical Importance</v>
      </c>
      <c r="J113" s="181"/>
      <c r="K113" s="48" t="b">
        <v>0</v>
      </c>
      <c r="L113" s="1"/>
    </row>
    <row r="114" spans="1:12" s="29" customFormat="1" ht="105" x14ac:dyDescent="0.25">
      <c r="A114" s="19" t="str">
        <f>Organization!$A$55</f>
        <v>PPPR-03</v>
      </c>
      <c r="B114" s="20" t="str">
        <f>VLOOKUP($A114,Organization!$A$13:$E$67,2,0)&amp;""</f>
        <v>Is your company subject to the institution's geographic region's laws and regulations?*</v>
      </c>
      <c r="C114" s="45" t="str">
        <f>VLOOKUP($A114,Organization!$A$13:$E$67,3,0)&amp;""</f>
        <v>Yes</v>
      </c>
      <c r="D114" s="34" t="str">
        <f>IF(LEFT(VLOOKUP($A114,Organization!$A$13:$E$67,5,0),21)='Auto Responses'!$A$32,'Auto Responses'!$A$33,VLOOKUP($A114,Organization!$A$13:$E$67,4,0))&amp;""</f>
        <v>Preservica will comply with applicable laws relevant to the services. Insititutions may negotiate jurisidction on Enterprise and above.</v>
      </c>
      <c r="E114" s="326" t="str">
        <f>VLOOKUP($A114,Organization!$A$13:$E$67,5,0)&amp;""</f>
        <v>State the country that governs and regulates your company.</v>
      </c>
      <c r="F114" s="191"/>
      <c r="G114" s="30" t="str">
        <f>VLOOKUP($A114,Questions!$A$2:$X$333,21,0)&amp;""</f>
        <v>Yes</v>
      </c>
      <c r="H114" s="181"/>
      <c r="I114" s="45" t="str">
        <f>VLOOKUP($A114,Questions!$A$2:$X$333,23,0)&amp;""</f>
        <v>Critical Importance</v>
      </c>
      <c r="J114" s="181"/>
      <c r="K114" s="48" t="b">
        <v>0</v>
      </c>
      <c r="L114" s="1"/>
    </row>
    <row r="115" spans="1:12" s="29" customFormat="1" ht="285" x14ac:dyDescent="0.25">
      <c r="A115" s="19" t="str">
        <f>Organization!$A$56</f>
        <v>PPPR-04</v>
      </c>
      <c r="B115" s="20" t="str">
        <f>VLOOKUP($A115,Organization!$A$13:$E$67,2,0)&amp;""</f>
        <v>Can you accommodate encryption requirements using open standards?</v>
      </c>
      <c r="C115" s="45" t="str">
        <f>VLOOKUP($A115,Organization!$A$13:$E$67,3,0)&amp;""</f>
        <v>Yes</v>
      </c>
      <c r="D115" s="34" t="str">
        <f>IF(LEFT(VLOOKUP($A115,Organization!$A$13:$E$67,5,0),21)='Auto Responses'!$A$32,'Auto Responses'!$A$33,VLOOKUP($A115,Organization!$A$13:$E$67,4,0))&amp;""</f>
        <v>Yes. Data in transit is protected using TLS 1.2 or TLS 1.3 only; no earlier TLS or SSL version is enabled or supported. The cipher suites in use are strong authenticated-encryption suites, reviewed regularly and updated in line with industry best practice. Customer data at rest is encrypted using AES-256, with key management provided by the cloud service provider's key management services.</v>
      </c>
      <c r="E115" s="326" t="str">
        <f>VLOOKUP($A115,Organization!$A$13:$E$67,5,0)&amp;""</f>
        <v/>
      </c>
      <c r="F115" s="191"/>
      <c r="G115" s="30" t="str">
        <f>VLOOKUP($A115,Questions!$A$2:$X$333,21,0)&amp;""</f>
        <v>Yes</v>
      </c>
      <c r="H115" s="181"/>
      <c r="I115" s="45" t="str">
        <f>VLOOKUP($A115,Questions!$A$2:$X$333,23,0)&amp;""</f>
        <v>Standard Importance</v>
      </c>
      <c r="J115" s="181"/>
      <c r="K115" s="48" t="b">
        <v>0</v>
      </c>
      <c r="L115" s="1"/>
    </row>
    <row r="116" spans="1:12" s="29" customFormat="1" ht="409.5" x14ac:dyDescent="0.25">
      <c r="A116" s="19" t="str">
        <f>Organization!$A$57</f>
        <v>PPPR-05</v>
      </c>
      <c r="B116" s="20" t="str">
        <f>VLOOKUP($A116,Organization!$A$13:$E$67,2,0)&amp;""</f>
        <v>Do you have a documented systems development life cycle (SDLC)?</v>
      </c>
      <c r="C116" s="45" t="str">
        <f>VLOOKUP($A116,Organization!$A$13:$E$67,3,0)&amp;""</f>
        <v>Yes</v>
      </c>
      <c r="D116" s="34" t="str">
        <f>IF(LEFT(VLOOKUP($A116,Organization!$A$13:$E$67,5,0),21)='Auto Responses'!$A$32,'Auto Responses'!$A$33,VLOOKUP($A116,Organization!$A$13:$E$67,4,0))&amp;""</f>
        <v>Yes. Preservica maintains a documented Secure Development Policy establishing mandatory secure coding standards and controls across the development lifecycle, covering requirements specification, system design, development, testing and deployment. It applies to all Preservica employees, contractors and sub-contractors performing product support, development, testing or quality assurance on products released to customers. Preservica uses the OWASP Top 10 (2025) as its guidance for secure development focus areas, and system designs are assessed against the OWASP Top 10 categories during the design phase. Designs are peer-reviewed at regular Technical Review meetings involving DevOps and Operations personnel, senior engineers and a representative from Information Security. Source code changes require review and approval by a second person before acceptance into the main branch and are additionally reviewed by static application security testing tooling. Deployment to production is automated, using Infrastructure as Code for all production infrastructure components.</v>
      </c>
      <c r="E116" s="326" t="str">
        <f>VLOOKUP($A116,Organization!$A$13:$E$67,5,0)&amp;""</f>
        <v>Briefly summarize your SDLC or provide a link or attachment.</v>
      </c>
      <c r="F116" s="191"/>
      <c r="G116" s="30" t="str">
        <f>VLOOKUP($A116,Questions!$A$2:$X$333,21,0)&amp;""</f>
        <v>Yes</v>
      </c>
      <c r="H116" s="181"/>
      <c r="I116" s="45" t="str">
        <f>VLOOKUP($A116,Questions!$A$2:$X$333,23,0)&amp;""</f>
        <v>Standard Importance</v>
      </c>
      <c r="J116" s="181"/>
      <c r="K116" s="48" t="b">
        <v>0</v>
      </c>
      <c r="L116" s="1"/>
    </row>
    <row r="117" spans="1:12" s="29" customFormat="1" ht="330" x14ac:dyDescent="0.25">
      <c r="A117" s="19" t="str">
        <f>Organization!$A$58</f>
        <v>PPPR-06</v>
      </c>
      <c r="B117" s="20" t="str">
        <f>VLOOKUP($A117,Organization!$A$13:$E$67,2,0)&amp;""</f>
        <v>Do you perform background screenings or multi-state background checks on all employees prior to their first day of work?</v>
      </c>
      <c r="C117" s="45" t="str">
        <f>VLOOKUP($A117,Organization!$A$13:$E$67,3,0)&amp;""</f>
        <v>Yes</v>
      </c>
      <c r="D117" s="34" t="str">
        <f>IF(LEFT(VLOOKUP($A117,Organization!$A$13:$E$67,5,0),21)='Auto Responses'!$A$32,'Auto Responses'!$A$33,VLOOKUP($A117,Organization!$A$13:$E$67,4,0))&amp;""</f>
        <v>All staff undergo role suitability, identification verification, proof of residence, right-to-work, reference, academic achievement, credit, sanction and director checks prior to employment or engagement. Staff in Customer Support, Operations, Information Security and Finance additionally complete an annual criminal background check. Screening is governed by Preservica's documented Engagement Screening Procedure.</v>
      </c>
      <c r="E117" s="326" t="str">
        <f>VLOOKUP($A117,Organization!$A$13:$E$67,5,0)&amp;""</f>
        <v>Summarize your background check practices.</v>
      </c>
      <c r="F117" s="191"/>
      <c r="G117" s="30" t="str">
        <f>VLOOKUP($A117,Questions!$A$2:$X$333,21,0)&amp;""</f>
        <v>Yes</v>
      </c>
      <c r="H117" s="181"/>
      <c r="I117" s="45" t="str">
        <f>VLOOKUP($A117,Questions!$A$2:$X$333,23,0)&amp;""</f>
        <v>Standard Importance</v>
      </c>
      <c r="J117" s="181"/>
      <c r="K117" s="48" t="b">
        <v>0</v>
      </c>
      <c r="L117" s="1"/>
    </row>
    <row r="118" spans="1:12" s="29" customFormat="1" ht="409.5" x14ac:dyDescent="0.25">
      <c r="A118" s="19" t="str">
        <f>Organization!$A$59</f>
        <v>PPPR-07</v>
      </c>
      <c r="B118" s="20" t="str">
        <f>VLOOKUP($A118,Organization!$A$13:$E$67,2,0)&amp;""</f>
        <v>Do you require new employees to fill out agreements and review policies?</v>
      </c>
      <c r="C118" s="45" t="str">
        <f>VLOOKUP($A118,Organization!$A$13:$E$67,3,0)&amp;""</f>
        <v>Yes</v>
      </c>
      <c r="D118" s="34" t="str">
        <f>IF(LEFT(VLOOKUP($A118,Organization!$A$13:$E$67,5,0),21)='Auto Responses'!$A$32,'Auto Responses'!$A$33,VLOOKUP($A118,Organization!$A$13:$E$67,4,0))&amp;""</f>
        <v>Yes. On hire and annually thereafter, all employees must read and acknowledge a set of core policies, including the Information Security Policy, the Quality Policy, the Security Incident Identification and Reporting Guidance, and the Acceptable Use Policy. Additional role-specific policies apply — for example the Secure Development Policy and Software Quality Policy for Development and Product Management teams, and the incident and crisis management procedures for the Information Security team. Sanctions for non-compliance are defined explicitly within each policy, proportionate to the impact of the breach, ranging from a verbal warning up to disciplinary action including termination. New employees also complete pre-employment screening and mandatory security awareness training.</v>
      </c>
      <c r="E118" s="326" t="str">
        <f>VLOOKUP($A118,Organization!$A$13:$E$67,5,0)&amp;""</f>
        <v>Summarize the required agreements and reviewed policies.</v>
      </c>
      <c r="F118" s="191"/>
      <c r="G118" s="30" t="str">
        <f>VLOOKUP($A118,Questions!$A$2:$X$333,21,0)&amp;""</f>
        <v>Yes</v>
      </c>
      <c r="H118" s="181"/>
      <c r="I118" s="45" t="str">
        <f>VLOOKUP($A118,Questions!$A$2:$X$333,23,0)&amp;""</f>
        <v>Standard Importance</v>
      </c>
      <c r="J118" s="181"/>
      <c r="K118" s="48" t="b">
        <v>0</v>
      </c>
      <c r="L118" s="1"/>
    </row>
    <row r="119" spans="1:12" s="29" customFormat="1" ht="315" x14ac:dyDescent="0.25">
      <c r="A119" s="19" t="str">
        <f>Organization!$A$60</f>
        <v>PPPR-08</v>
      </c>
      <c r="B119" s="20" t="str">
        <f>VLOOKUP($A119,Organization!$A$13:$E$67,2,0)&amp;""</f>
        <v>Do you have a documented information security policy?</v>
      </c>
      <c r="C119" s="45" t="str">
        <f>VLOOKUP($A119,Organization!$A$13:$E$67,3,0)&amp;""</f>
        <v>Yes</v>
      </c>
      <c r="D119" s="34" t="str">
        <f>IF(LEFT(VLOOKUP($A119,Organization!$A$13:$E$67,5,0),21)='Auto Responses'!$A$32,'Auto Responses'!$A$33,VLOOKUP($A119,Organization!$A$13:$E$67,4,0))&amp;""</f>
        <v>Yes. In line with ISO 27001 requirements Preservica has an established and regularly reviewed Information Security Policy, which is available from Preservica's Trust Center at https://preservica.com/trust-center. The policy has an assigned Owner and Approver, with sign-off tracked, and is reviewed at least annually, on material change to the environment, or in response to an incident.</v>
      </c>
      <c r="E119" s="326" t="str">
        <f>VLOOKUP($A119,Organization!$A$13:$E$67,5,0)&amp;""</f>
        <v>Provide a reference to your information security policy or submit documentation with this fully populated HECVAT.</v>
      </c>
      <c r="F119" s="191"/>
      <c r="G119" s="30" t="str">
        <f>VLOOKUP($A119,Questions!$A$2:$X$333,21,0)&amp;""</f>
        <v>Yes</v>
      </c>
      <c r="H119" s="181"/>
      <c r="I119" s="45" t="str">
        <f>VLOOKUP($A119,Questions!$A$2:$X$333,23,0)&amp;""</f>
        <v>Standard Importance</v>
      </c>
      <c r="J119" s="181"/>
      <c r="K119" s="48" t="b">
        <v>0</v>
      </c>
      <c r="L119" s="1"/>
    </row>
    <row r="120" spans="1:12" s="29" customFormat="1" ht="409.5" x14ac:dyDescent="0.25">
      <c r="A120" s="19" t="str">
        <f>Organization!$A$61</f>
        <v>PPPR-09</v>
      </c>
      <c r="B120" s="20" t="str">
        <f>VLOOKUP($A120,Organization!$A$13:$E$67,2,0)&amp;""</f>
        <v>Are information security principles designed into the product lifecycle?</v>
      </c>
      <c r="C120" s="45" t="str">
        <f>VLOOKUP($A120,Organization!$A$13:$E$67,3,0)&amp;""</f>
        <v>Yes</v>
      </c>
      <c r="D120" s="34" t="str">
        <f>IF(LEFT(VLOOKUP($A120,Organization!$A$13:$E$67,5,0),21)='Auto Responses'!$A$32,'Auto Responses'!$A$33,VLOOKUP($A120,Organization!$A$13:$E$67,4,0))&amp;""</f>
        <v>Yes. Security is built into the product lifecycle at each stage. Design: system designs are assessed against the OWASP Top 10 (2025) categories during the design phase and peer-reviewed at regular Technical Review meetings involving DevOps and Operations personnel, senior engineers and a representative from Information Security. Development: engineers must ensure code is free of the current OWASP Top 10 web application security risks, must not hard-code credentials, must disable detailed error messages that could support an attack vector, and must configure their development environment with the required security tooling. Engineers and quality assurance staff are trained on the OWASP Top 10 on hire and retrained whenever a new edition is published, and developers must have appropriate training, knowledge or experience in the languages they work in, verified during recruitment. Review: all source code changes require review and approval by a second person before acceptance into the main branch and are additionally reviewed by static application security testing tooling for vulnerabilities, licensing issues and secrets. Testing: static application security testing is enforced at every pull request, dynamic application security testing is applied as a release gate on every release candidate, and an independent CREST-certified penetration test covering application, API and infrastructure layers is commissioned at least annually.</v>
      </c>
      <c r="E120" s="326" t="str">
        <f>VLOOKUP($A120,Organization!$A$13:$E$67,5,0)&amp;""</f>
        <v>Summarize the information security principles designed into the product lifecycle.</v>
      </c>
      <c r="F120" s="191"/>
      <c r="G120" s="30" t="str">
        <f>VLOOKUP($A120,Questions!$A$2:$X$333,21,0)&amp;""</f>
        <v>Yes</v>
      </c>
      <c r="H120" s="181"/>
      <c r="I120" s="45" t="str">
        <f>VLOOKUP($A120,Questions!$A$2:$X$333,23,0)&amp;""</f>
        <v>Minor Importance</v>
      </c>
      <c r="J120" s="181"/>
      <c r="K120" s="48" t="b">
        <v>0</v>
      </c>
      <c r="L120" s="1"/>
    </row>
    <row r="121" spans="1:12" s="29" customFormat="1" ht="409.5" x14ac:dyDescent="0.25">
      <c r="A121" s="19" t="str">
        <f>Organization!$A$62</f>
        <v>PPPR-10</v>
      </c>
      <c r="B121" s="20" t="str">
        <f>VLOOKUP($A121,Organization!$A$13:$E$67,2,0)&amp;""</f>
        <v>Will you comply with applicable breach notification laws?</v>
      </c>
      <c r="C121" s="45" t="str">
        <f>VLOOKUP($A121,Organization!$A$13:$E$67,3,0)&amp;""</f>
        <v>Yes</v>
      </c>
      <c r="D121" s="34" t="str">
        <f>IF(LEFT(VLOOKUP($A121,Organization!$A$13:$E$67,5,0),21)='Auto Responses'!$A$32,'Auto Responses'!$A$33,VLOOKUP($A121,Organization!$A$13:$E$67,4,0))&amp;""</f>
        <v>Yes. Preservica will comply with applicable breach notification laws, which vary by customer geography. In addition, under Preservica's standard Terms and Conditions, in the event of a confirmed data breach Preservica commits by edition to: Enterprise and above — promptly inform the customer within 24 hours, including any relevant details, where legally permitted; manage the incident through to resolution in consultation with the customer and Preservica's advisers; and provide regular updates. Professional, Professional Plus and Starter Plus — promptly inform the customer within 48 hours, including any relevant details, where legally permitted; manage the incident through to resolution in consultation with Preservica's advisers; and, for Professional and Professional Plus, provide regular updates. These are Preservica's standard terms; a customer's signed agreement takes precedence. Notification commitments apply to confirmed incidents and breaches. Preservica maintains an Incident Management Policy supported by a Cyber Incident Response Plan with scenario-specific playbooks and a Crisis Management Communications Plan; a full response exercise is conducted at least annually, and incident management is within the scope of Preservica's ISO/IEC 27001:2022 certification and its SOC 2 Type II audit. Where an incident has affected, or is likely to have affected, personal data, Preservica's Data Protection Officer is engaged and advises on assessment, containment and notification; the Data Protection Officer is contactable at Privacy@preservica.com.</v>
      </c>
      <c r="E121" s="326" t="str">
        <f>VLOOKUP($A121,Organization!$A$13:$E$67,5,0)&amp;""</f>
        <v>State how quickly the institution will be notified of a data breach or security incident.</v>
      </c>
      <c r="F121" s="191"/>
      <c r="G121" s="30" t="str">
        <f>VLOOKUP($A121,Questions!$A$2:$X$333,21,0)&amp;""</f>
        <v>Yes</v>
      </c>
      <c r="H121" s="181"/>
      <c r="I121" s="45" t="str">
        <f>VLOOKUP($A121,Questions!$A$2:$X$333,23,0)&amp;""</f>
        <v>Minor Importance</v>
      </c>
      <c r="J121" s="181"/>
      <c r="K121" s="48" t="b">
        <v>0</v>
      </c>
      <c r="L121" s="1"/>
    </row>
    <row r="122" spans="1:12" s="29" customFormat="1" ht="409.5" x14ac:dyDescent="0.25">
      <c r="A122" s="19" t="str">
        <f>Organization!$A$63</f>
        <v>PPPR-11</v>
      </c>
      <c r="B122" s="20" t="str">
        <f>VLOOKUP($A122,Organization!$A$13:$E$67,2,0)&amp;""</f>
        <v>Do you have an information security awareness program?</v>
      </c>
      <c r="C122" s="45" t="str">
        <f>VLOOKUP($A122,Organization!$A$13:$E$67,3,0)&amp;""</f>
        <v>Yes</v>
      </c>
      <c r="D122" s="34" t="str">
        <f>IF(LEFT(VLOOKUP($A122,Organization!$A$13:$E$67,5,0),21)='Auto Responses'!$A$32,'Auto Responses'!$A$33,VLOOKUP($A122,Organization!$A$13:$E$67,4,0))&amp;""</f>
        <v>Yes. Preservica's security awareness programme is governed by a documented Security Awareness Training Policy applying to all Preservica staff, temporary staff, consultants and third parties who have access to Preservica information, Preservica customer information, or the facilities, technologies or services used to process such information. Training is completed during onboarding and at regular intervals not exceeding annually, with additional ad hoc training following significant security incidents or threats, or material regulatory, policy or technology changes. Content covers recognising and reporting phishing, social engineering, credential harvesting and business email compromise; password and information handling practice; data classification and secure disposal; secure handling, transmission, storage, retention and disposal of sensitive information; safe browsing; physical security; acceptable use of company resources; the importance of software updates and patching; and incident and breach reporting procedures. Privileged users and staff with access to customer data receive additional role-specific training. Preservica maintains records of assigned and completed training, validates understanding through quizzes, assessments and simulated phishing exercises, follows up with those requiring remedial training, and tracks completion rates, overdue assignments, phishing simulation performance and recurring deficiencies. Third parties and consultants are required, contractually or by equivalent means, to have training equal to or greater than that required of Preservica's own staff.</v>
      </c>
      <c r="E122" s="326" t="str">
        <f>VLOOKUP($A122,Organization!$A$13:$E$67,5,0)&amp;""</f>
        <v>Summarize your information security awareness program.</v>
      </c>
      <c r="F122" s="191"/>
      <c r="G122" s="30" t="str">
        <f>VLOOKUP($A122,Questions!$A$2:$X$333,21,0)&amp;""</f>
        <v>Yes</v>
      </c>
      <c r="H122" s="181"/>
      <c r="I122" s="45" t="str">
        <f>VLOOKUP($A122,Questions!$A$2:$X$333,23,0)&amp;""</f>
        <v>Minor Importance</v>
      </c>
      <c r="J122" s="181"/>
      <c r="K122" s="48" t="b">
        <v>0</v>
      </c>
      <c r="L122" s="1"/>
    </row>
    <row r="123" spans="1:12" s="29" customFormat="1" ht="409.5" x14ac:dyDescent="0.25">
      <c r="A123" s="19" t="str">
        <f>Organization!$A$64</f>
        <v>PPPR-12</v>
      </c>
      <c r="B123" s="20" t="str">
        <f>VLOOKUP($A123,Organization!$A$13:$E$67,2,0)&amp;""</f>
        <v>Is security awareness training mandatory for all employees?</v>
      </c>
      <c r="C123" s="45" t="str">
        <f>VLOOKUP($A123,Organization!$A$13:$E$67,3,0)&amp;""</f>
        <v>Yes</v>
      </c>
      <c r="D123" s="34" t="str">
        <f>IF(LEFT(VLOOKUP($A123,Organization!$A$13:$E$67,5,0),21)='Auto Responses'!$A$32,'Auto Responses'!$A$33,VLOOKUP($A123,Organization!$A$13:$E$67,4,0))&amp;""</f>
        <v>Yes. All Preservica staff, temporary staff, consultants and third parties in scope of Preservica's Security Awareness Training Policy must complete mandatory security awareness training during onboarding and at regular intervals not exceeding annually. Additional ad hoc training is provided following significant security incidents or threats, or material regulatory, policy or technology changes, and additional role-specific training is mandatory for privileged users and staff with access to customer data. Failure to complete mandatory training results in follow-up from Information Security, escalation to the individual's line manager, and, for persistent non-compliance, disciplinary action up to and including termination, with system access potentially suspended pending the outcome. Exceptions require approval by the CISO or a delegate and are recorded.</v>
      </c>
      <c r="E123" s="326" t="str">
        <f>VLOOKUP($A123,Organization!$A$13:$E$67,5,0)&amp;""</f>
        <v>Summarize your security awareness training content and state how frequently employees are required to undergo security awareness training.</v>
      </c>
      <c r="F123" s="191"/>
      <c r="G123" s="30" t="str">
        <f>VLOOKUP($A123,Questions!$A$2:$X$333,21,0)&amp;""</f>
        <v>Yes</v>
      </c>
      <c r="H123" s="181"/>
      <c r="I123" s="45" t="str">
        <f>VLOOKUP($A123,Questions!$A$2:$X$333,23,0)&amp;""</f>
        <v>Minor Importance</v>
      </c>
      <c r="J123" s="181"/>
      <c r="K123" s="48" t="b">
        <v>0</v>
      </c>
      <c r="L123" s="1"/>
    </row>
    <row r="124" spans="1:12" s="29" customFormat="1" ht="409.5" x14ac:dyDescent="0.25">
      <c r="A124" s="19" t="str">
        <f>Organization!$A$65</f>
        <v>PPPR-13</v>
      </c>
      <c r="B124" s="20" t="str">
        <f>VLOOKUP($A124,Organization!$A$13:$E$67,2,0)&amp;""</f>
        <v>Do you have process and procedure(s) documented, and currently followed, that require a review and update of the access list(s) for privileged accounts?</v>
      </c>
      <c r="C124" s="45" t="str">
        <f>VLOOKUP($A124,Organization!$A$13:$E$67,3,0)&amp;""</f>
        <v>Yes</v>
      </c>
      <c r="D124" s="34" t="str">
        <f>IF(LEFT(VLOOKUP($A124,Organization!$A$13:$E$67,5,0),21)='Auto Responses'!$A$32,'Auto Responses'!$A$33,VLOOKUP($A124,Organization!$A$13:$E$67,4,0))&amp;""</f>
        <v>Yes. Access rights, including those of privileged accounts, are reviewed by asset owners at regular intervals — at a minimum every six months — and additionally on role change and on termination, with reviews recorded. Privileged rights are restricted, recorded and not granted by default, and privileged accounts are kept separate from day-to-day user accounts. Access is granted on the principles of least privilege and need-to-know using role-based access control. These controls are within the scope of Preservica's ISO/IEC 27001:2022 certification and are independently tested as part of Preservica's SOC 2 Type II report.</v>
      </c>
      <c r="E124" s="326" t="str">
        <f>VLOOKUP($A124,Organization!$A$13:$E$67,5,0)&amp;""</f>
        <v>Provide a brief summary and the implement review interval.</v>
      </c>
      <c r="F124" s="191"/>
      <c r="G124" s="30" t="str">
        <f>VLOOKUP($A124,Questions!$A$2:$X$333,21,0)&amp;""</f>
        <v>Yes</v>
      </c>
      <c r="H124" s="181"/>
      <c r="I124" s="45" t="str">
        <f>VLOOKUP($A124,Questions!$A$2:$X$333,23,0)&amp;""</f>
        <v>Minor Importance</v>
      </c>
      <c r="J124" s="181"/>
      <c r="K124" s="48" t="b">
        <v>0</v>
      </c>
      <c r="L124" s="1"/>
    </row>
    <row r="125" spans="1:12" s="29" customFormat="1" ht="409.5" x14ac:dyDescent="0.25">
      <c r="A125" s="19" t="str">
        <f>Organization!$A$66</f>
        <v>PPPR-14</v>
      </c>
      <c r="B125" s="20" t="str">
        <f>VLOOKUP($A125,Organization!$A$13:$E$67,2,0)&amp;""</f>
        <v>Do you have documented, and currently implemented, internal audit processes and procedures?</v>
      </c>
      <c r="C125" s="45" t="str">
        <f>VLOOKUP($A125,Organization!$A$13:$E$67,3,0)&amp;""</f>
        <v>Yes</v>
      </c>
      <c r="D125" s="34" t="str">
        <f>IF(LEFT(VLOOKUP($A125,Organization!$A$13:$E$67,5,0),21)='Auto Responses'!$A$32,'Auto Responses'!$A$33,VLOOKUP($A125,Organization!$A$13:$E$67,4,0))&amp;""</f>
        <v>Yes. Preservica maintains a documented Internal Audit Procedure and operates an internal audit programme to a defined annual schedule covering its ISO/IEC 27001:2022 and ISO 9001:2015 certified management systems. Findings feed a broader assurance cycle: every policy and procedure has an assigned Owner and Approver and is reviewed at least annually, on material change to the environment, or in response to an incident; the Leadership Team conducts an annual Management Review; the Board provides oversight annually; and control design and operating effectiveness are independently verified through Preservica's external certifications and its annual SOC 2 Type II audit. Compliance with policy is further assured by mandatory reading and acknowledgement of core policies on hire and annually thereafter, with sanctions defined within each policy.</v>
      </c>
      <c r="E125" s="326" t="str">
        <f>VLOOKUP($A125,Organization!$A$13:$E$67,5,0)&amp;""</f>
        <v>Summarize your internal audit processes and procedures.</v>
      </c>
      <c r="F125" s="191"/>
      <c r="G125" s="30" t="str">
        <f>VLOOKUP($A125,Questions!$A$2:$X$333,21,0)&amp;""</f>
        <v>Yes</v>
      </c>
      <c r="H125" s="181"/>
      <c r="I125" s="45" t="str">
        <f>VLOOKUP($A125,Questions!$A$2:$X$333,23,0)&amp;""</f>
        <v>Minor Importance</v>
      </c>
      <c r="J125" s="181"/>
      <c r="K125" s="48" t="b">
        <v>0</v>
      </c>
      <c r="L125" s="1"/>
    </row>
    <row r="126" spans="1:12" s="29" customFormat="1" ht="409.6" thickBot="1" x14ac:dyDescent="0.3">
      <c r="A126" s="19" t="str">
        <f>Organization!$A$67</f>
        <v>PPPR-15</v>
      </c>
      <c r="B126" s="20" t="str">
        <f>VLOOKUP($A126,Organization!$A$13:$E$67,2,0)&amp;""</f>
        <v>Does your organization have physical security controls and policies in place?</v>
      </c>
      <c r="C126" s="45" t="str">
        <f>VLOOKUP($A126,Organization!$A$13:$E$67,3,0)&amp;""</f>
        <v>Yes</v>
      </c>
      <c r="D126" s="34" t="str">
        <f>IF(LEFT(VLOOKUP($A126,Organization!$A$13:$E$67,5,0),21)='Auto Responses'!$A$32,'Auto Responses'!$A$33,VLOOKUP($A126,Organization!$A$13:$E$67,4,0))&amp;""</f>
        <v>Yes, at two levels. Data centres: institutional data is stored on cloud service provider infrastructure — Amazon Web Services or Microsoft Azure — and physical security of those facilities is the provider's responsibility, covered by their own independently audited certifications and attestations such as ISO 27001 and SOC 2, which Preservica reviews at least annually as part of its critical supplier review. Preservica does not operate its own data centres, and accepts responsibility for its sub-processors under its standard Terms and Conditions. Preservica's own offices: Preservica maintains a Physical and Environmental Security Policy and supporting procedure, with defined security perimeters protecting areas containing information and assets, controlled entry to premises and secure areas so that only authorised personnel gain access, and monitoring for unauthorised physical access. Access to secure areas is restricted to staff with a business need using key and fob controls, and visitors are escorted and supervised. Use of mobile storage media such as USB drives is not authorised. Physical and environmental security is within the scope of Preservica's ISO/IEC 27001:2022 certification.</v>
      </c>
      <c r="E126" s="326" t="str">
        <f>VLOOKUP($A126,Organization!$A$13:$E$67,5,0)&amp;""</f>
        <v>Provide a copy of your physical security controls and policies along with this document (link or attached).</v>
      </c>
      <c r="F126" s="191"/>
      <c r="G126" s="30" t="str">
        <f>VLOOKUP($A126,Questions!$A$2:$X$333,21,0)&amp;""</f>
        <v>Yes</v>
      </c>
      <c r="H126" s="181"/>
      <c r="I126" s="45" t="str">
        <f>VLOOKUP($A126,Questions!$A$2:$X$333,23,0)&amp;""</f>
        <v>Minor Importance</v>
      </c>
      <c r="J126" s="181"/>
      <c r="K126" s="49" t="b">
        <v>0</v>
      </c>
      <c r="L126" s="1"/>
    </row>
    <row r="127" spans="1:12" s="1" customFormat="1" ht="17.5" x14ac:dyDescent="0.25">
      <c r="A127" s="63" t="str">
        <f>VLOOKUP(LEFT($A128,4),'Auto Responses'!$N$4:$O$38,2,0)&amp;""</f>
        <v xml:space="preserve"> Authentication, Authorization, and Account Management</v>
      </c>
      <c r="B127" s="22"/>
      <c r="C127" s="31"/>
      <c r="D127" s="31"/>
      <c r="E127" s="327"/>
      <c r="F127" s="128" t="s">
        <v>632</v>
      </c>
      <c r="G127" s="331" t="s">
        <v>627</v>
      </c>
      <c r="H127" s="331" t="s">
        <v>628</v>
      </c>
      <c r="I127" s="331" t="s">
        <v>629</v>
      </c>
      <c r="J127" s="331" t="s">
        <v>630</v>
      </c>
      <c r="K127" s="331" t="s">
        <v>631</v>
      </c>
    </row>
    <row r="128" spans="1:12" s="29" customFormat="1" ht="409.5" x14ac:dyDescent="0.25">
      <c r="A128" s="19" t="str">
        <f>Product!$A$20</f>
        <v>AAAI-01</v>
      </c>
      <c r="B128" s="20" t="str">
        <f>VLOOKUP($A128,Product!$A$13:$E$61,2,0)&amp;""</f>
        <v>Does your solution support single sign-on (SSO) protocols for user and administrator authentication?*</v>
      </c>
      <c r="C128" s="45" t="str">
        <f>VLOOKUP($A128,Product!$A$13:$E$61,3,0)&amp;""</f>
        <v>Yes</v>
      </c>
      <c r="D128" s="34" t="str">
        <f>IF(LEFT(VLOOKUP($A128,Product!$A$13:$E$61,5,0),21)='Auto Responses'!$A$32,'Auto Responses'!$A$33,VLOOKUP($A128,Product!$A$13:$E$61,4,0))&amp;""</f>
        <v>Preservica supports SAML 2.0-based Single Sign-On for user and administrator authentication, available on Enterprise edition and above. Microsoft Entra ID (Azure AD) is fully supported. Where Single Sign-On is used, authentication strength is delegated to and enforced by the institution's own Identity Provider — including password complexity and ageing, re-use restrictions, multi-factor authentication, certificate-based authentication and biometrics. SAML assertions are exchanged over TLS 1.2 or TLS 1.3 only; all earlier TLS and SSL versions are disabled. Where an institution does not use Single Sign-On, Preservica's built-in local authentication applies the password rules stated in AAAI-04, and two-factor authentication is available on Professional edition and above.</v>
      </c>
      <c r="E128" s="326" t="str">
        <f>VLOOKUP($A128,Product!$A$13:$E$61,5,0)&amp;""</f>
        <v>Describe how strong authentication is enforced (e.g., complex passwords, multifactor tokens, certificates, biometrics, aging requirements, re-use policy).</v>
      </c>
      <c r="F128" s="191"/>
      <c r="G128" s="30" t="str">
        <f>VLOOKUP($A128,Questions!$A$2:$X$333,21,0)&amp;""</f>
        <v>Yes</v>
      </c>
      <c r="H128" s="181"/>
      <c r="I128" s="45" t="str">
        <f>VLOOKUP($A128,Questions!$A$2:$X$333,23,0)&amp;""</f>
        <v>Critical Importance</v>
      </c>
      <c r="J128" s="181"/>
      <c r="K128" s="48" t="b">
        <v>0</v>
      </c>
      <c r="L128" s="1"/>
    </row>
    <row r="129" spans="1:12" s="29" customFormat="1" ht="409.5" x14ac:dyDescent="0.25">
      <c r="A129" s="19" t="str">
        <f>Product!$A$21</f>
        <v>AAAI-02</v>
      </c>
      <c r="B129" s="20" t="str">
        <f>VLOOKUP($A129,Product!$A$13:$E$61,2,0)&amp;""</f>
        <v>For customers not using SSO, does your solution support local authentication protocols for user and administrator authentication?*</v>
      </c>
      <c r="C129" s="45" t="str">
        <f>VLOOKUP($A129,Product!$A$13:$E$61,3,0)&amp;""</f>
        <v>Yes</v>
      </c>
      <c r="D129" s="34" t="str">
        <f>IF(LEFT(VLOOKUP($A129,Product!$A$13:$E$61,5,0),21)='Auto Responses'!$A$32,'Auto Responses'!$A$33,VLOOKUP($A129,Product!$A$13:$E$61,4,0))&amp;""</f>
        <v>Preservica provides a platform-native local authentication directory for institutions that do not use Single Sign-On. Local accounts are used for both user and administrator access, and are created and administered by the institution's own platform administrators. Local passwords must be between 8 and 64 characters in length and must contain at least 3 of the following 4 character classes: uppercase letters, lowercase letters, numbers, and symbols. Two-factor authentication is available for local authentication on Professional edition and above and is enabled at tenancy level. Access rights for local accounts are governed by the platform's role-based access control model, with permissions assignable to predefined or custom roles and scoped to specific content. User sessions are automatically terminated after a maximum of 15 minutes of inactivity.</v>
      </c>
      <c r="E129" s="326" t="str">
        <f>VLOOKUP($A129,Product!$A$13:$E$61,5,0)&amp;""</f>
        <v>Provide a detailed description of your local authentication mode practices.</v>
      </c>
      <c r="F129" s="191"/>
      <c r="G129" s="30" t="str">
        <f>VLOOKUP($A129,Questions!$A$2:$X$333,21,0)&amp;""</f>
        <v>Yes</v>
      </c>
      <c r="H129" s="181"/>
      <c r="I129" s="45" t="str">
        <f>VLOOKUP($A129,Questions!$A$2:$X$333,23,0)&amp;""</f>
        <v>Critical Importance</v>
      </c>
      <c r="J129" s="181"/>
      <c r="K129" s="48" t="b">
        <v>0</v>
      </c>
      <c r="L129" s="1"/>
    </row>
    <row r="130" spans="1:12" s="29" customFormat="1" ht="330" x14ac:dyDescent="0.25">
      <c r="A130" s="19" t="str">
        <f>Product!$A$22</f>
        <v>AAAI-03</v>
      </c>
      <c r="B130" s="20" t="str">
        <f>VLOOKUP($A130,Product!$A$13:$E$61,2,0)&amp;""</f>
        <v>For customers not using SSO, can you enforce password/passphrase complexity requirements (provided by the institution)?*</v>
      </c>
      <c r="C130" s="45" t="str">
        <f>VLOOKUP($A130,Product!$A$13:$E$61,3,0)&amp;""</f>
        <v>No</v>
      </c>
      <c r="D130" s="34" t="str">
        <f>IF(LEFT(VLOOKUP($A130,Product!$A$13:$E$61,5,0),21)='Auto Responses'!$A$32,'Auto Responses'!$A$33,VLOOKUP($A130,Product!$A$13:$E$61,4,0))&amp;""</f>
        <v>Where Preservica's built-in local authentication is used, the platform applies its own fixed password complexity requirements: passwords must be between 8 and 64 characters in length and must contain at least 3 of the following 4 character classes: uppercase letters, lowercase letters, numbers, and symbols. These requirements are platform-set and cannot be reconfigured to apply an institution-supplied password or passphrase policy.</v>
      </c>
      <c r="E130" s="326" t="str">
        <f>VLOOKUP($A130,Product!$A$13:$E$61,5,0)&amp;""</f>
        <v>Describe plans to support password/passphrase complexity requirements.</v>
      </c>
      <c r="F130" s="191"/>
      <c r="G130" s="30" t="str">
        <f>VLOOKUP($A130,Questions!$A$2:$X$333,21,0)&amp;""</f>
        <v>Yes</v>
      </c>
      <c r="H130" s="181"/>
      <c r="I130" s="45" t="str">
        <f>VLOOKUP($A130,Questions!$A$2:$X$333,23,0)&amp;""</f>
        <v>Critical Importance</v>
      </c>
      <c r="J130" s="181"/>
      <c r="K130" s="48" t="b">
        <v>0</v>
      </c>
      <c r="L130" s="1"/>
    </row>
    <row r="131" spans="1:12" s="29" customFormat="1" ht="195" x14ac:dyDescent="0.25">
      <c r="A131" s="19" t="str">
        <f>Product!$A$23</f>
        <v>AAAI-04</v>
      </c>
      <c r="B131" s="20" t="str">
        <f>VLOOKUP($A131,Product!$A$13:$E$61,2,0)&amp;""</f>
        <v>For customers not using SSO, does the system have password complexity or length limitations and/or restrictions?*</v>
      </c>
      <c r="C131" s="45" t="str">
        <f>VLOOKUP($A131,Product!$A$13:$E$61,3,0)&amp;""</f>
        <v>Yes</v>
      </c>
      <c r="D131" s="34" t="str">
        <f>IF(LEFT(VLOOKUP($A131,Product!$A$13:$E$61,5,0),21)='Auto Responses'!$A$32,'Auto Responses'!$A$33,VLOOKUP($A131,Product!$A$13:$E$61,4,0))&amp;""</f>
        <v>Local authentication passwords must be between 8 and 64 characters in length — 8 characters is the minimum and 64 the maximum — and must contain at least 3 of the following 4 character classes: uppercase letters, lowercase letters, numbers, and symbols.</v>
      </c>
      <c r="E131" s="326" t="str">
        <f>VLOOKUP($A131,Product!$A$13:$E$61,5,0)&amp;""</f>
        <v>Describe these limitations and/or restrictions and state what lengths and complexities are supported.</v>
      </c>
      <c r="F131" s="191"/>
      <c r="G131" s="30" t="str">
        <f>VLOOKUP($A131,Questions!$A$2:$X$333,21,0)&amp;""</f>
        <v>No</v>
      </c>
      <c r="H131" s="181"/>
      <c r="I131" s="45" t="str">
        <f>VLOOKUP($A131,Questions!$A$2:$X$333,23,0)&amp;""</f>
        <v>Critical Importance</v>
      </c>
      <c r="J131" s="181"/>
      <c r="K131" s="48" t="b">
        <v>0</v>
      </c>
      <c r="L131" s="1"/>
    </row>
    <row r="132" spans="1:12" s="29" customFormat="1" ht="409.5" x14ac:dyDescent="0.25">
      <c r="A132" s="19" t="str">
        <f>Product!$A$24</f>
        <v>AAAI-05</v>
      </c>
      <c r="B132" s="20" t="str">
        <f>VLOOKUP($A132,Product!$A$13:$E$61,2,0)&amp;""</f>
        <v>For customers not using SSO, do you have documented password/passphrase reset procedures that are currently implemented in the system and/or customer support?*</v>
      </c>
      <c r="C132" s="45" t="str">
        <f>VLOOKUP($A132,Product!$A$13:$E$61,3,0)&amp;""</f>
        <v>Yes</v>
      </c>
      <c r="D132" s="34" t="str">
        <f>IF(LEFT(VLOOKUP($A132,Product!$A$13:$E$61,5,0),21)='Auto Responses'!$A$32,'Auto Responses'!$A$33,VLOOKUP($A132,Product!$A$13:$E$61,4,0))&amp;""</f>
        <v>Where Preservica's built-in local authentication is used, password reset is performed by the institution's own platform administrators through the platform's administrative screens. Managing user accounts within the tenancy, including password resets, is the institution's responsibility under Preservica's Shared Responsibility Model, published at https://website-assets.preservica.com/production/resources/Shared-Responsibility-Model-Global-v1.1.pdf. Preservica Support does not ordinarily reset passwords for platform users and will refer such requests to the institution's platform administrator.</v>
      </c>
      <c r="E132" s="326" t="str">
        <f>VLOOKUP($A132,Product!$A$13:$E$61,5,0)&amp;""</f>
        <v>Describe your documented password/passphrase reset procedures that are currently implemented in the system and/or customer support.</v>
      </c>
      <c r="F132" s="191"/>
      <c r="G132" s="30" t="str">
        <f>VLOOKUP($A132,Questions!$A$2:$X$333,21,0)&amp;""</f>
        <v>Yes</v>
      </c>
      <c r="H132" s="181"/>
      <c r="I132" s="45" t="str">
        <f>VLOOKUP($A132,Questions!$A$2:$X$333,23,0)&amp;""</f>
        <v>Critical Importance</v>
      </c>
      <c r="J132" s="181"/>
      <c r="K132" s="48" t="b">
        <v>0</v>
      </c>
      <c r="L132" s="1"/>
    </row>
    <row r="133" spans="1:12" s="29" customFormat="1" ht="75" x14ac:dyDescent="0.25">
      <c r="A133" s="19" t="str">
        <f>Product!$A$25</f>
        <v>AAAI-06</v>
      </c>
      <c r="B133" s="20" t="str">
        <f>VLOOKUP($A133,Product!$A$13:$E$61,2,0)&amp;""</f>
        <v>Does your organization participate in InCommon or another eduGAIN-affiliated trust federation?*</v>
      </c>
      <c r="C133" s="45" t="str">
        <f>VLOOKUP($A133,Product!$A$13:$E$61,3,0)&amp;""</f>
        <v>No</v>
      </c>
      <c r="D133" s="34" t="str">
        <f>IF(LEFT(VLOOKUP($A133,Product!$A$13:$E$61,5,0),21)='Auto Responses'!$A$32,'Auto Responses'!$A$33,VLOOKUP($A133,Product!$A$13:$E$61,4,0))&amp;""</f>
        <v>No plans at this time.</v>
      </c>
      <c r="E133" s="326" t="str">
        <f>VLOOKUP($A133,Product!$A$13:$E$61,5,0)&amp;""</f>
        <v>Describe plans to participate in InCommon or another eduGAIN-affiliated trust federation.</v>
      </c>
      <c r="F133" s="191"/>
      <c r="G133" s="30" t="str">
        <f>VLOOKUP($A133,Questions!$A$2:$X$333,21,0)&amp;""</f>
        <v>Yes</v>
      </c>
      <c r="H133" s="181"/>
      <c r="I133" s="45" t="str">
        <f>VLOOKUP($A133,Questions!$A$2:$X$333,23,0)&amp;""</f>
        <v>Critical Importance</v>
      </c>
      <c r="J133" s="181"/>
      <c r="K133" s="48" t="b">
        <v>0</v>
      </c>
      <c r="L133" s="1"/>
    </row>
    <row r="134" spans="1:12" s="29" customFormat="1" ht="345" x14ac:dyDescent="0.25">
      <c r="A134" s="19" t="str">
        <f>Product!$A$26</f>
        <v>AAAI-07</v>
      </c>
      <c r="B134" s="20" t="str">
        <f>VLOOKUP($A134,Product!$A$13:$E$61,2,0)&amp;""</f>
        <v>Are there any passwords/passphrases hard-coded into your systems or solutions?*</v>
      </c>
      <c r="C134" s="45" t="str">
        <f>VLOOKUP($A134,Product!$A$13:$E$61,3,0)&amp;""</f>
        <v>No</v>
      </c>
      <c r="D134" s="34" t="str">
        <f>IF(LEFT(VLOOKUP($A134,Product!$A$13:$E$61,5,0),21)='Auto Responses'!$A$32,'Auto Responses'!$A$33,VLOOKUP($A134,Product!$A$13:$E$61,4,0))&amp;""</f>
        <v>Preservica's Secure Development Policy prohibits hard-coding credentials in source code or in configuration files in unencrypted form. All source code is held in an approved repository, all changes are reviewed and approved by a second person before acceptance into the main branch, and all changes are additionally scanned by Static Application Security Testing tooling that checks for vulnerabilities, licensing issues and secrets.</v>
      </c>
      <c r="E134" s="326" t="str">
        <f>VLOOKUP($A134,Product!$A$13:$E$61,5,0)&amp;""</f>
        <v/>
      </c>
      <c r="F134" s="191"/>
      <c r="G134" s="30" t="str">
        <f>VLOOKUP($A134,Questions!$A$2:$X$333,21,0)&amp;""</f>
        <v>No</v>
      </c>
      <c r="H134" s="181"/>
      <c r="I134" s="45" t="str">
        <f>VLOOKUP($A134,Questions!$A$2:$X$333,23,0)&amp;""</f>
        <v>Critical Importance</v>
      </c>
      <c r="J134" s="181"/>
      <c r="K134" s="48" t="b">
        <v>0</v>
      </c>
      <c r="L134" s="1"/>
    </row>
    <row r="135" spans="1:12" s="29" customFormat="1" ht="15" x14ac:dyDescent="0.25">
      <c r="A135" s="19" t="str">
        <f>Product!$A$27</f>
        <v>AAAI-08</v>
      </c>
      <c r="B135" s="20" t="str">
        <f>VLOOKUP($A135,Product!$A$13:$E$61,2,0)&amp;""</f>
        <v>Are you storing any passwords in plaintext?*</v>
      </c>
      <c r="C135" s="45" t="str">
        <f>VLOOKUP($A135,Product!$A$13:$E$61,3,0)&amp;""</f>
        <v>No</v>
      </c>
      <c r="D135" s="34" t="str">
        <f>IF(LEFT(VLOOKUP($A135,Product!$A$13:$E$61,5,0),21)='Auto Responses'!$A$32,'Auto Responses'!$A$33,VLOOKUP($A135,Product!$A$13:$E$61,4,0))&amp;""</f>
        <v/>
      </c>
      <c r="E135" s="326" t="str">
        <f>VLOOKUP($A135,Product!$A$13:$E$61,5,0)&amp;""</f>
        <v/>
      </c>
      <c r="F135" s="191"/>
      <c r="G135" s="30" t="str">
        <f>VLOOKUP($A135,Questions!$A$2:$X$333,21,0)&amp;""</f>
        <v>No</v>
      </c>
      <c r="H135" s="181"/>
      <c r="I135" s="45" t="str">
        <f>VLOOKUP($A135,Questions!$A$2:$X$333,23,0)&amp;""</f>
        <v>Critical Importance</v>
      </c>
      <c r="J135" s="181"/>
      <c r="K135" s="48" t="b">
        <v>0</v>
      </c>
      <c r="L135" s="1"/>
    </row>
    <row r="136" spans="1:12" s="29" customFormat="1" ht="409.5" x14ac:dyDescent="0.25">
      <c r="A136" s="19" t="str">
        <f>Product!$A$28</f>
        <v>AAAI-09</v>
      </c>
      <c r="B136" s="20" t="str">
        <f>VLOOKUP($A136,Product!$A$13:$E$61,2,0)&amp;""</f>
        <v>Are audit logs available that include AT LEAST all of the following: login, logout, actions performed, and source IP address?*</v>
      </c>
      <c r="C136" s="45" t="str">
        <f>VLOOKUP($A136,Product!$A$13:$E$61,3,0)&amp;""</f>
        <v>No</v>
      </c>
      <c r="D136" s="34" t="str">
        <f>IF(LEFT(VLOOKUP($A136,Product!$A$13:$E$61,5,0),21)='Auto Responses'!$A$32,'Auto Responses'!$A$33,VLOOKUP($A136,Product!$A$13:$E$61,4,0))&amp;""</f>
        <v>Preservica's reporting module provides audit records of user login and logout events and of user activity within the institution's tenancy. These records are not editable by platform users and access to them is restricted by role. Institutions can also retrieve these records through the platform's documented REST APIs for ingestion into their own SIEM or log-aggregation platform. Source IP address is not currently recorded in tenant login records; Preservica is reviewing the requirements and privacy implications of enabling IP address logging. Separately, Preservica collects, collates and monitors the logs of the underlying SaaS infrastructure, which are retained for a minimum of 30 days and feed 24/7/365 security monitoring.</v>
      </c>
      <c r="E136" s="326" t="str">
        <f>VLOOKUP($A136,Product!$A$13:$E$61,5,0)&amp;""</f>
        <v>Describe any plans to enable audit logs for these data elements.</v>
      </c>
      <c r="F136" s="191"/>
      <c r="G136" s="30" t="str">
        <f>VLOOKUP($A136,Questions!$A$2:$X$333,21,0)&amp;""</f>
        <v>Yes</v>
      </c>
      <c r="H136" s="181"/>
      <c r="I136" s="45" t="str">
        <f>VLOOKUP($A136,Questions!$A$2:$X$333,23,0)&amp;""</f>
        <v>Critical Importance</v>
      </c>
      <c r="J136" s="181"/>
      <c r="K136" s="48" t="b">
        <v>0</v>
      </c>
      <c r="L136" s="1"/>
    </row>
    <row r="137" spans="1:12" s="29" customFormat="1" ht="409.5" x14ac:dyDescent="0.25">
      <c r="A137" s="19" t="str">
        <f>Product!$A$29</f>
        <v>AAAI-10</v>
      </c>
      <c r="B137" s="20" t="str">
        <f>VLOOKUP($A137,Product!$A$13:$E$61,2,0)&amp;""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37" s="301" t="str">
        <f>VLOOKUP($A137,Product!$A$13:$E$61,3,0)&amp;""</f>
        <v/>
      </c>
      <c r="D137" s="302" t="str">
        <f>IF(LEFT(VLOOKUP($A137,Product!$A$13:$E$61,5,0),21)='Auto Responses'!$A$32,'Auto Responses'!$A$33,VLOOKUP($A137,Product!$A$13:$E$61,4,0))&amp;""</f>
        <v>Logging is a shared responsibility. (a) Within the institution's tenancy, the platform captures audit records of user login and logout events and of user activity, surfaced through the platform's reports and administrative screens; these records are not editable by platform users and access to them is restricted by role. At the infrastructure layer, Preservica collects, collates and monitors system logs for the environment on which the service runs. (b) No institution-side deployment or agent is required for logging to operate; tenant audit records are available through the platform to users holding an appropriate role, and administrators can review accounts, role assignments and activity records at whatever cadence the institution's own policies require. (c) Preservica does not push tenant logs directly into an institution's SIEM; institutions retrieve tenant audit records through the platform's documented REST APIs for ingestion into their own SIEM or log-aggregation platform. Preservica's own infrastructure logs are forwarded to a central SIEM, retained for a minimum of 30 days, and monitored 24/7/365. The full responsibility split is set out in Preservica's Shared Responsibility Model: https://website-assets.preservica.com/production/resources/Shared-Responsibility-Model-Global-v1.1.pdf</v>
      </c>
      <c r="E137" s="328" t="str">
        <f>VLOOKUP($A137,Product!$A$13:$E$61,5,0)&amp;""</f>
        <v>Ensure that all elements of AAAI-10 are clearly stated in your response.</v>
      </c>
      <c r="F137" s="191"/>
      <c r="G137" s="30" t="str">
        <f>VLOOKUP($A137,Questions!$A$2:$X$333,21,0)&amp;""</f>
        <v>Not scored</v>
      </c>
      <c r="H137" s="181"/>
      <c r="I137" s="45" t="str">
        <f>VLOOKUP($A137,Questions!$A$2:$X$333,23,0)&amp;""</f>
        <v/>
      </c>
      <c r="J137" s="181"/>
      <c r="K137" s="48" t="b">
        <v>0</v>
      </c>
      <c r="L137" s="1"/>
    </row>
    <row r="138" spans="1:12" s="29" customFormat="1" ht="409.5" x14ac:dyDescent="0.25">
      <c r="A138" s="19" t="str">
        <f>Product!$A$30</f>
        <v>AAAI-11</v>
      </c>
      <c r="B138" s="20" t="str">
        <f>VLOOKUP($A138,Product!$A$13:$E$61,2,0)&amp;""</f>
        <v>Can you provide the institution documentation regarding the retention period for those logs, how logs are protected, and whether they are accessible to the customer (and if so, how)?*</v>
      </c>
      <c r="C138" s="45" t="str">
        <f>VLOOKUP($A138,Product!$A$13:$E$61,3,0)&amp;""</f>
        <v>Yes</v>
      </c>
      <c r="D138" s="34" t="str">
        <f>IF(LEFT(VLOOKUP($A138,Product!$A$13:$E$61,5,0),21)='Auto Responses'!$A$32,'Auto Responses'!$A$33,VLOOKUP($A138,Product!$A$13:$E$61,4,0))&amp;""</f>
        <v>Audit records within the institution's tenancy are available to the institution through the platform's reports and administrative screens, and can also be retrieved programmatically through the platform's documented REST APIs. These records are not editable by platform users and access to them is restricted by role. Monitoring those records against the institution's own policies, and performing access reviews within the tenancy, is the institution's responsibility. Preservica collects, protects and monitors the logs of the underlying SaaS infrastructure and retains them for a minimum of 30 days. The responsibility split is set out in Preservica's Shared Responsibility Model (https://website-assets.preservica.com/production/resources/Shared-Responsibility-Model-Global-v1.1.pdf) and further compliance documentation is available at https://preservica.com/trust-center</v>
      </c>
      <c r="E138" s="326" t="str">
        <f>VLOOKUP($A138,Product!$A$13:$E$61,5,0)&amp;""</f>
        <v>Ensure that all elements of AAAI-11 are clearly stated in your response.</v>
      </c>
      <c r="F138" s="191"/>
      <c r="G138" s="30" t="str">
        <f>VLOOKUP($A138,Questions!$A$2:$X$333,21,0)&amp;""</f>
        <v>Yes</v>
      </c>
      <c r="H138" s="181"/>
      <c r="I138" s="45" t="str">
        <f>VLOOKUP($A138,Questions!$A$2:$X$333,23,0)&amp;""</f>
        <v>Critical Importance</v>
      </c>
      <c r="J138" s="181"/>
      <c r="K138" s="48" t="b">
        <v>0</v>
      </c>
      <c r="L138" s="1"/>
    </row>
    <row r="139" spans="1:12" s="29" customFormat="1" ht="409.5" x14ac:dyDescent="0.25">
      <c r="A139" s="19" t="str">
        <f>Product!$A$31</f>
        <v>AAAI-12</v>
      </c>
      <c r="B139" s="20" t="str">
        <f>VLOOKUP($A139,Product!$A$13:$E$61,2,0)&amp;""</f>
        <v>For customers not using SSO, does your application support integration with other authentication and authorization systems?</v>
      </c>
      <c r="C139" s="45" t="str">
        <f>VLOOKUP($A139,Product!$A$13:$E$61,3,0)&amp;""</f>
        <v>No</v>
      </c>
      <c r="D139" s="34" t="str">
        <f>IF(LEFT(VLOOKUP($A139,Product!$A$13:$E$61,5,0),21)='Auto Responses'!$A$32,'Auto Responses'!$A$33,VLOOKUP($A139,Product!$A$13:$E$61,4,0))&amp;""</f>
        <v>Where Single Sign-On is not used, authentication is performed by Preservica's own platform-native local authentication directory. Preservica does not offer direct integration with external authentication or authorization systems such as Active Directory, LDAP or Kerberos; institutions that wish to use an existing directory do so by federating it through their own SAML 2.0 Identity Provider, which is available on Enterprise edition and above. Authorization within the platform is always governed by Preservica's own role-based access control model, using predefined or custom roles whose permissions can be scoped to specific content.</v>
      </c>
      <c r="E139" s="326" t="str">
        <f>VLOOKUP($A139,Product!$A$13:$E$61,5,0)&amp;""</f>
        <v>Describe any plans to support integration with other authentication and authorization systems.</v>
      </c>
      <c r="F139" s="191"/>
      <c r="G139" s="30" t="str">
        <f>VLOOKUP($A139,Questions!$A$2:$X$333,21,0)&amp;""</f>
        <v>Yes</v>
      </c>
      <c r="H139" s="181"/>
      <c r="I139" s="45" t="str">
        <f>VLOOKUP($A139,Questions!$A$2:$X$333,23,0)&amp;""</f>
        <v>Standard Importance</v>
      </c>
      <c r="J139" s="181"/>
      <c r="K139" s="48" t="b">
        <v>0</v>
      </c>
      <c r="L139" s="1"/>
    </row>
    <row r="140" spans="1:12" s="29" customFormat="1" ht="45" x14ac:dyDescent="0.25">
      <c r="A140" s="19" t="str">
        <f>Product!$A$32</f>
        <v>AAAI-13</v>
      </c>
      <c r="B140" s="20" t="str">
        <f>VLOOKUP($A140,Product!$A$13:$E$61,2,0)&amp;""</f>
        <v>Do you allow the customer to specify attribute mappings for any needed information beyond a user identifier? (e.g., Reference eduPerson, ePPA/ePPN/ePE)</v>
      </c>
      <c r="C140" s="45" t="str">
        <f>VLOOKUP($A140,Product!$A$13:$E$61,3,0)&amp;""</f>
        <v>No</v>
      </c>
      <c r="D140" s="34" t="str">
        <f>IF(LEFT(VLOOKUP($A140,Product!$A$13:$E$61,5,0),21)='Auto Responses'!$A$32,'Auto Responses'!$A$33,VLOOKUP($A140,Product!$A$13:$E$61,4,0))&amp;""</f>
        <v>No plans at this time.</v>
      </c>
      <c r="E140" s="326" t="str">
        <f>VLOOKUP($A140,Product!$A$13:$E$61,5,0)&amp;""</f>
        <v>Describe plans to allow customers to specify attribute mappings.</v>
      </c>
      <c r="F140" s="191"/>
      <c r="G140" s="30" t="str">
        <f>VLOOKUP($A140,Questions!$A$2:$X$333,21,0)&amp;""</f>
        <v>Yes</v>
      </c>
      <c r="H140" s="181"/>
      <c r="I140" s="45" t="str">
        <f>VLOOKUP($A140,Questions!$A$2:$X$333,23,0)&amp;""</f>
        <v>Standard Importance</v>
      </c>
      <c r="J140" s="181"/>
      <c r="K140" s="48" t="b">
        <v>0</v>
      </c>
      <c r="L140" s="1"/>
    </row>
    <row r="141" spans="1:12" s="29" customFormat="1" ht="360" x14ac:dyDescent="0.25">
      <c r="A141" s="19" t="str">
        <f>Product!$A$33</f>
        <v>AAAI-14</v>
      </c>
      <c r="B141" s="20" t="str">
        <f>VLOOKUP($A141,Product!$A$13:$E$61,2,0)&amp;""</f>
        <v>For customers not using SSO, does your application support directory integration for user accounts?</v>
      </c>
      <c r="C141" s="45" t="str">
        <f>VLOOKUP($A141,Product!$A$13:$E$61,3,0)&amp;""</f>
        <v>No</v>
      </c>
      <c r="D141" s="34" t="str">
        <f>IF(LEFT(VLOOKUP($A141,Product!$A$13:$E$61,5,0),21)='Auto Responses'!$A$32,'Auto Responses'!$A$33,VLOOKUP($A141,Product!$A$13:$E$61,4,0))&amp;""</f>
        <v>Where Single Sign-On is not used, user accounts are held in Preservica's own platform-native local authentication directory and are created and administered by the institution's platform administrators; the application does not bind to or synchronise with an institution's own directory service. Directory integration is available through SAML 2.0 federation with the institution's Identity Provider, on Enterprise edition and above, where the institution chooses to use Single Sign-On.</v>
      </c>
      <c r="E141" s="326" t="str">
        <f>VLOOKUP($A141,Product!$A$13:$E$61,5,0)&amp;""</f>
        <v>Describe any plans to support external authentication services in place of local authentication.</v>
      </c>
      <c r="F141" s="191"/>
      <c r="G141" s="30" t="str">
        <f>VLOOKUP($A141,Questions!$A$2:$X$333,21,0)&amp;""</f>
        <v>Yes</v>
      </c>
      <c r="H141" s="181"/>
      <c r="I141" s="45" t="str">
        <f>VLOOKUP($A141,Questions!$A$2:$X$333,23,0)&amp;""</f>
        <v>Standard Importance</v>
      </c>
      <c r="J141" s="181"/>
      <c r="K141" s="48" t="b">
        <v>0</v>
      </c>
      <c r="L141" s="1"/>
    </row>
    <row r="142" spans="1:12" s="29" customFormat="1" ht="315" x14ac:dyDescent="0.25">
      <c r="A142" s="19" t="str">
        <f>Product!$A$34</f>
        <v>AAAI-15</v>
      </c>
      <c r="B142" s="20" t="str">
        <f>VLOOKUP($A142,Product!$A$13:$E$61,2,0)&amp;""</f>
        <v>Does your solution support any of the following web SSO standards: SAML2 (with redirect flow), OIDC, CAS, or other?</v>
      </c>
      <c r="C142" s="45" t="str">
        <f>VLOOKUP($A142,Product!$A$13:$E$61,3,0)&amp;""</f>
        <v>Yes</v>
      </c>
      <c r="D142" s="34" t="str">
        <f>IF(LEFT(VLOOKUP($A142,Product!$A$13:$E$61,5,0),21)='Auto Responses'!$A$32,'Auto Responses'!$A$33,VLOOKUP($A142,Product!$A$13:$E$61,4,0))&amp;""</f>
        <v>Preservica supports SAML 2.0 for web-based Single Sign-On, available on Enterprise edition and above; Microsoft Entra ID (Azure AD) is fully supported. OpenID Connect, CAS and OAuth-based authorization flows are not supported. SAML assertions are exchanged over TLS 1.2 or TLS 1.3 only, using modern authenticated cipher suites; all earlier TLS and SSL versions are disabled and unsupported.</v>
      </c>
      <c r="E142" s="326" t="str">
        <f>VLOOKUP($A142,Product!$A$13:$E$61,5,0)&amp;""</f>
        <v>State the web SSO standards supported by your solution and provide additional details about your support, including framework(s) in use, how information is exchanged securely, etc.</v>
      </c>
      <c r="F142" s="191"/>
      <c r="G142" s="30" t="str">
        <f>VLOOKUP($A142,Questions!$A$2:$X$333,21,0)&amp;""</f>
        <v>Yes</v>
      </c>
      <c r="H142" s="181"/>
      <c r="I142" s="45" t="str">
        <f>VLOOKUP($A142,Questions!$A$2:$X$333,23,0)&amp;""</f>
        <v>Minor Importance</v>
      </c>
      <c r="J142" s="181"/>
      <c r="K142" s="48" t="b">
        <v>0</v>
      </c>
      <c r="L142" s="1"/>
    </row>
    <row r="143" spans="1:12" s="29" customFormat="1" ht="60" x14ac:dyDescent="0.25">
      <c r="A143" s="19" t="str">
        <f>Product!$A$35</f>
        <v>AAAI-16</v>
      </c>
      <c r="B143" s="20" t="str">
        <f>VLOOKUP($A143,Product!$A$13:$E$61,2,0)&amp;""</f>
        <v>Do you support differentiation between email address and user identifier?</v>
      </c>
      <c r="C143" s="45" t="str">
        <f>VLOOKUP($A143,Product!$A$13:$E$61,3,0)&amp;""</f>
        <v>No</v>
      </c>
      <c r="D143" s="34" t="str">
        <f>IF(LEFT(VLOOKUP($A143,Product!$A$13:$E$61,5,0),21)='Auto Responses'!$A$32,'Auto Responses'!$A$33,VLOOKUP($A143,Product!$A$13:$E$61,4,0))&amp;""</f>
        <v>No plans at this time.</v>
      </c>
      <c r="E143" s="326" t="str">
        <f>VLOOKUP($A143,Product!$A$13:$E$61,5,0)&amp;""</f>
        <v>Describe any plans to support differentiation between email address and user identifier.</v>
      </c>
      <c r="F143" s="191"/>
      <c r="G143" s="30" t="str">
        <f>VLOOKUP($A143,Questions!$A$2:$X$333,21,0)&amp;""</f>
        <v>Yes</v>
      </c>
      <c r="H143" s="181"/>
      <c r="I143" s="45" t="str">
        <f>VLOOKUP($A143,Questions!$A$2:$X$333,23,0)&amp;""</f>
        <v>Minor Importance</v>
      </c>
      <c r="J143" s="181"/>
      <c r="K143" s="48" t="b">
        <v>0</v>
      </c>
      <c r="L143" s="1"/>
    </row>
    <row r="144" spans="1:12" s="29" customFormat="1" ht="375" x14ac:dyDescent="0.25">
      <c r="A144" s="19" t="str">
        <f>Product!$A$36</f>
        <v>AAAI-17</v>
      </c>
      <c r="B144" s="20" t="str">
        <f>VLOOKUP($A144,Product!$A$13:$E$61,2,0)&amp;""</f>
        <v>For customers not using SSO, does your application and/or user frontend/portal support multifactor authentication (e.g., Duo, Google Authenticator, OTP, etc.)?</v>
      </c>
      <c r="C144" s="45" t="str">
        <f>VLOOKUP($A144,Product!$A$13:$E$61,3,0)&amp;""</f>
        <v>Yes</v>
      </c>
      <c r="D144" s="34" t="str">
        <f>IF(LEFT(VLOOKUP($A144,Product!$A$13:$E$61,5,0),21)='Auto Responses'!$A$32,'Auto Responses'!$A$33,VLOOKUP($A144,Product!$A$13:$E$61,4,0))&amp;""</f>
        <v>Where an institution chooses not to implement SAML 2.0 Single Sign-On, Preservica's built-in local authentication supports two-factor authentication. This is available on Professional edition and above and is enabled at tenancy level. Where Single Sign-On is used instead (Enterprise edition and above), multi-factor authentication is delegated to and enforced by the institution's own Identity Provider, including Microsoft Entra ID conditional access policies.</v>
      </c>
      <c r="E144" s="326" t="str">
        <f>VLOOKUP($A144,Product!$A$13:$E$61,5,0)&amp;""</f>
        <v>List all supported multifactor authentication methods, technologies, and/or solutions and provide a brief summary of each.</v>
      </c>
      <c r="F144" s="191"/>
      <c r="G144" s="30" t="str">
        <f>VLOOKUP($A144,Questions!$A$2:$X$333,21,0)&amp;""</f>
        <v>Yes</v>
      </c>
      <c r="H144" s="181"/>
      <c r="I144" s="45" t="str">
        <f>VLOOKUP($A144,Questions!$A$2:$X$333,23,0)&amp;""</f>
        <v>Minor Importance</v>
      </c>
      <c r="J144" s="181"/>
      <c r="K144" s="48" t="b">
        <v>0</v>
      </c>
      <c r="L144" s="1"/>
    </row>
    <row r="145" spans="1:12" s="29" customFormat="1" ht="60" x14ac:dyDescent="0.25">
      <c r="A145" s="19" t="str">
        <f>Product!$A$37</f>
        <v>AAAI-18</v>
      </c>
      <c r="B145" s="20" t="str">
        <f>VLOOKUP($A145,Product!$A$13:$E$61,2,0)&amp;""</f>
        <v>Does your application automatically lock the session or log out an account after a period of inactivity?</v>
      </c>
      <c r="C145" s="45" t="str">
        <f>VLOOKUP($A145,Product!$A$13:$E$61,3,0)&amp;""</f>
        <v>Yes</v>
      </c>
      <c r="D145" s="34" t="str">
        <f>IF(LEFT(VLOOKUP($A145,Product!$A$13:$E$61,5,0),21)='Auto Responses'!$A$32,'Auto Responses'!$A$33,VLOOKUP($A145,Product!$A$13:$E$61,4,0))&amp;""</f>
        <v>Users will be logged out after a maximum of 15 minutes of inactivity.</v>
      </c>
      <c r="E145" s="326" t="str">
        <f>VLOOKUP($A145,Product!$A$13:$E$61,5,0)&amp;""</f>
        <v>Describe the default behavior of this capability.</v>
      </c>
      <c r="F145" s="191"/>
      <c r="G145" s="30" t="str">
        <f>VLOOKUP($A145,Questions!$A$2:$X$333,21,0)&amp;""</f>
        <v>Yes</v>
      </c>
      <c r="H145" s="181"/>
      <c r="I145" s="45" t="str">
        <f>VLOOKUP($A145,Questions!$A$2:$X$333,23,0)&amp;""</f>
        <v>Minor Importance</v>
      </c>
      <c r="J145" s="181"/>
      <c r="K145" s="48" t="b">
        <v>0</v>
      </c>
      <c r="L145" s="1"/>
    </row>
    <row r="146" spans="1:12" s="1" customFormat="1" ht="17.5" x14ac:dyDescent="0.25">
      <c r="A146" s="63" t="str">
        <f>VLOOKUP(LEFT($A147,4),'Auto Responses'!$N$4:$O$38,2,0)&amp;""</f>
        <v xml:space="preserve"> Data</v>
      </c>
      <c r="B146" s="22"/>
      <c r="C146" s="31"/>
      <c r="D146" s="31"/>
      <c r="E146" s="327"/>
      <c r="F146" s="128" t="s">
        <v>632</v>
      </c>
      <c r="G146" s="331" t="s">
        <v>627</v>
      </c>
      <c r="H146" s="331" t="s">
        <v>628</v>
      </c>
      <c r="I146" s="331" t="s">
        <v>629</v>
      </c>
      <c r="J146" s="331" t="s">
        <v>630</v>
      </c>
      <c r="K146" s="331" t="s">
        <v>631</v>
      </c>
    </row>
    <row r="147" spans="1:12" s="29" customFormat="1" ht="409.5" x14ac:dyDescent="0.25">
      <c r="A147" s="19" t="str">
        <f>Product!$A$39</f>
        <v>DATA-01</v>
      </c>
      <c r="B147" s="20" t="str">
        <f>VLOOKUP($A147,Product!$A$13:$E$61,2,0)&amp;""</f>
        <v>Will the institution's data be stored on any devices (database servers, file servers, SAN, NAS, etc.) configured with non-RFC 1918/4193 (i.e., publicly routable) IP addresses?*</v>
      </c>
      <c r="C147" s="45" t="str">
        <f>VLOOKUP($A147,Product!$A$13:$E$61,3,0)&amp;""</f>
        <v>No</v>
      </c>
      <c r="D147" s="34" t="str">
        <f>IF(LEFT(VLOOKUP($A147,Product!$A$13:$E$61,5,0),21)='Auto Responses'!$A$32,'Auto Responses'!$A$33,VLOOKUP($A147,Product!$A$13:$E$61,4,0))&amp;""</f>
        <v>Institution data is held in cloud storage provided by Preservica's infrastructure provider (AWS or Microsoft Azure, per the institution's Order Form) in customer-specific storage containers. Application and database components run within isolated virtual private networks; ingress from public to private networks is restricted to required services on a deny-by-default basis, production and non-production networks are logically separated, and communication between environments is prohibited by default and permitted only where strictly necessary and explicitly approved. Institutions on Enterprise Private Cloud or above may additionally elect IP whitelisting, restricting access to their own nominated IP addresses together with Preservica's offices and Preservica's infrastructure monitoring platform.</v>
      </c>
      <c r="E147" s="326" t="str">
        <f>VLOOKUP($A147,Product!$A$13:$E$61,5,0)&amp;""</f>
        <v/>
      </c>
      <c r="F147" s="191"/>
      <c r="G147" s="30" t="str">
        <f>VLOOKUP($A147,Questions!$A$2:$X$333,21,0)&amp;""</f>
        <v>No</v>
      </c>
      <c r="H147" s="181"/>
      <c r="I147" s="45" t="str">
        <f>VLOOKUP($A147,Questions!$A$2:$X$333,23,0)&amp;""</f>
        <v>Critical Importance</v>
      </c>
      <c r="J147" s="181"/>
      <c r="K147" s="48" t="b">
        <v>0</v>
      </c>
      <c r="L147" s="1"/>
    </row>
    <row r="148" spans="1:12" s="29" customFormat="1" ht="405" x14ac:dyDescent="0.25">
      <c r="A148" s="19" t="str">
        <f>Product!$A$40</f>
        <v>DATA-02</v>
      </c>
      <c r="B148" s="20" t="str">
        <f>VLOOKUP($A148,Product!$A$13:$E$61,2,0)&amp;""</f>
        <v>Is the transport of sensitive data encrypted using security protocols/algorithms (e.g., system-to-client)?*</v>
      </c>
      <c r="C148" s="45" t="str">
        <f>VLOOKUP($A148,Product!$A$13:$E$61,3,0)&amp;""</f>
        <v>Yes</v>
      </c>
      <c r="D148" s="34" t="str">
        <f>IF(LEFT(VLOOKUP($A148,Product!$A$13:$E$61,5,0),21)='Auto Responses'!$A$32,'Auto Responses'!$A$33,VLOOKUP($A148,Product!$A$13:$E$61,4,0))&amp;""</f>
        <v>All data in transit, including content files and metadata, is encrypted using TLS 1.2 or TLS 1.3 only; all earlier TLS and SSL versions are disabled and unsupported. Only modern authenticated cipher suites are enabled which, at the time of response, include; AES-GCM and ChaCha20-Poly1305 with ECDHE key exchange — and the enabled cipher set is reviewed regularly against industry best practice. HTTP Strict Transport Security is applied to customer applications, and end-to-end encryption is used for critical services such as authentication.</v>
      </c>
      <c r="E148" s="326" t="str">
        <f>VLOOKUP($A148,Product!$A$13:$E$61,5,0)&amp;""</f>
        <v>Summarize your transport encryption strategy.</v>
      </c>
      <c r="F148" s="191"/>
      <c r="G148" s="30" t="str">
        <f>VLOOKUP($A148,Questions!$A$2:$X$333,21,0)&amp;""</f>
        <v>Yes</v>
      </c>
      <c r="H148" s="181"/>
      <c r="I148" s="45" t="str">
        <f>VLOOKUP($A148,Questions!$A$2:$X$333,23,0)&amp;""</f>
        <v>Critical Importance</v>
      </c>
      <c r="J148" s="181"/>
      <c r="K148" s="48" t="b">
        <v>0</v>
      </c>
      <c r="L148" s="1"/>
    </row>
    <row r="149" spans="1:12" s="29" customFormat="1" ht="240" x14ac:dyDescent="0.25">
      <c r="A149" s="19" t="str">
        <f>Product!$A$41</f>
        <v>DATA-03</v>
      </c>
      <c r="B149" s="20" t="str">
        <f>VLOOKUP($A149,Product!$A$13:$E$61,2,0)&amp;""</f>
        <v>Is the storage of sensitive data encrypted using security protocols/algorithms (e.g., disk encryption, at-rest, files, and within a running database)?*</v>
      </c>
      <c r="C149" s="45" t="str">
        <f>VLOOKUP($A149,Product!$A$13:$E$61,3,0)&amp;""</f>
        <v>Yes</v>
      </c>
      <c r="D149" s="34" t="str">
        <f>IF(LEFT(VLOOKUP($A149,Product!$A$13:$E$61,5,0),21)='Auto Responses'!$A$32,'Auto Responses'!$A$33,VLOOKUP($A149,Product!$A$13:$E$61,4,0))&amp;""</f>
        <v>Institution data at rest is encrypted using AES-256, with keys managed through the key management services of the underlying cloud provider. This applies to the database platform and its backups and snapshots, block storage volumes and snapshots, object storage, and archival storage tiers.</v>
      </c>
      <c r="E149" s="326" t="str">
        <f>VLOOKUP($A149,Product!$A$13:$E$61,5,0)&amp;""</f>
        <v>Summarize your data encryption strategy and state what encryption options are available.</v>
      </c>
      <c r="F149" s="191"/>
      <c r="G149" s="30" t="str">
        <f>VLOOKUP($A149,Questions!$A$2:$X$333,21,0)&amp;""</f>
        <v>Yes</v>
      </c>
      <c r="H149" s="181"/>
      <c r="I149" s="45" t="str">
        <f>VLOOKUP($A149,Questions!$A$2:$X$333,23,0)&amp;""</f>
        <v>Critical Importance</v>
      </c>
      <c r="J149" s="181"/>
      <c r="K149" s="48" t="b">
        <v>0</v>
      </c>
      <c r="L149" s="1"/>
    </row>
    <row r="150" spans="1:12" s="29" customFormat="1" ht="120" x14ac:dyDescent="0.25">
      <c r="A150" s="19" t="str">
        <f>Product!$A$42</f>
        <v>DATA-04</v>
      </c>
      <c r="B150" s="20" t="str">
        <f>VLOOKUP($A150,Product!$A$13:$E$61,2,0)&amp;""</f>
        <v>Do all cryptographic modules in use in your solution conform to the Federal Information Processing Standards (FIPS PUB 140-2 or 140-3)?*</v>
      </c>
      <c r="C150" s="45" t="str">
        <f>VLOOKUP($A150,Product!$A$13:$E$61,3,0)&amp;""</f>
        <v>No</v>
      </c>
      <c r="D150" s="34" t="str">
        <f>IF(LEFT(VLOOKUP($A150,Product!$A$13:$E$61,5,0),21)='Auto Responses'!$A$32,'Auto Responses'!$A$33,VLOOKUP($A150,Product!$A$13:$E$61,4,0))&amp;""</f>
        <v>Cryptographic Modules used by Preservica are managed by the Cloud Service provider and are FIPS 140-2 Level 3 Compliant. FIPS 140-2 is still valid through 2026.</v>
      </c>
      <c r="E150" s="326" t="str">
        <f>VLOOKUP($A150,Product!$A$13:$E$61,5,0)&amp;""</f>
        <v>Provide a detailed description of all non-conforming modules.</v>
      </c>
      <c r="F150" s="191"/>
      <c r="G150" s="30" t="str">
        <f>VLOOKUP($A150,Questions!$A$2:$X$333,21,0)&amp;""</f>
        <v>Yes</v>
      </c>
      <c r="H150" s="181"/>
      <c r="I150" s="45" t="str">
        <f>VLOOKUP($A150,Questions!$A$2:$X$333,23,0)&amp;""</f>
        <v>Critical Importance</v>
      </c>
      <c r="J150" s="181"/>
      <c r="K150" s="48" t="b">
        <v>0</v>
      </c>
      <c r="L150" s="1"/>
    </row>
    <row r="151" spans="1:12" s="29" customFormat="1" ht="390" x14ac:dyDescent="0.25">
      <c r="A151" s="19" t="str">
        <f>Product!$A$43</f>
        <v>DATA-05</v>
      </c>
      <c r="B151" s="20" t="str">
        <f>VLOOKUP($A151,Product!$A$13:$E$61,2,0)&amp;""</f>
        <v>Will the institution's data be available within the system for a period of time at the completion of this contract?*</v>
      </c>
      <c r="C151" s="45" t="str">
        <f>VLOOKUP($A151,Product!$A$13:$E$61,3,0)&amp;""</f>
        <v>Yes</v>
      </c>
      <c r="D151" s="34" t="str">
        <f>IF(LEFT(VLOOKUP($A151,Product!$A$13:$E$61,5,0),21)='Auto Responses'!$A$32,'Auto Responses'!$A$33,VLOOKUP($A151,Product!$A$13:$E$61,4,0))&amp;""</f>
        <v>Institution data remains available within the system for export for up to 30 days following contract termination, after which Preservica is entitled to delete all institution data. Where continued access is required beyond that period, extensions can be purchased on a month-to-month basis. Enhanced exit assistance is also available as a paid option for institutions with specific regulatory or legislative exit requirements. Existing customers should refer to their signed agreement, which takes precedence over this general position.</v>
      </c>
      <c r="E151" s="326" t="str">
        <f>VLOOKUP($A151,Product!$A$13:$E$61,5,0)&amp;""</f>
        <v>State the length of time that the institution's data will be available in the system at the completion of the contract.</v>
      </c>
      <c r="F151" s="191"/>
      <c r="G151" s="30" t="str">
        <f>VLOOKUP($A151,Questions!$A$2:$X$333,21,0)&amp;""</f>
        <v>Yes</v>
      </c>
      <c r="H151" s="181"/>
      <c r="I151" s="45" t="str">
        <f>VLOOKUP($A151,Questions!$A$2:$X$333,23,0)&amp;""</f>
        <v>Critical Importance</v>
      </c>
      <c r="J151" s="181"/>
      <c r="K151" s="48" t="b">
        <v>0</v>
      </c>
      <c r="L151" s="1"/>
    </row>
    <row r="152" spans="1:12" s="29" customFormat="1" ht="409.5" x14ac:dyDescent="0.25">
      <c r="A152" s="19" t="str">
        <f>Product!$A$44</f>
        <v>DATA-06</v>
      </c>
      <c r="B152" s="20" t="str">
        <f>VLOOKUP($A152,Product!$A$13:$E$61,2,0)&amp;""</f>
        <v>Are ownership rights to all data, inputs, outputs, and metadata retained even through a provider acquisition or bankruptcy event?*</v>
      </c>
      <c r="C152" s="45" t="str">
        <f>VLOOKUP($A152,Product!$A$13:$E$61,3,0)&amp;""</f>
        <v>Yes</v>
      </c>
      <c r="D152" s="34" t="str">
        <f>IF(LEFT(VLOOKUP($A152,Product!$A$13:$E$61,5,0),21)='Auto Responses'!$A$32,'Auto Responses'!$A$33,VLOOKUP($A152,Product!$A$13:$E$61,4,0))&amp;""</f>
        <v>Institutions retain ownership and control of all data they place in or generate through the service — content ingested, data supplied as input to platform processing, outputs produced by that processing, and all associated descriptive, technical and preservation metadata — at all times, as set out in the contract Terms and Conditions. Preservica processes institution data only to provide the contracted service, on the institution's instructions and as required by applicable law, and does not use institution data to train or fine-tune any model. Institutions can export some or all of their content and metadata at any time during the contract term in a common machine-readable format, and Preservica supports the OPEX (Open Preservation Exchange) standard for structured export of preservation content and metadata. Source code escrow and key escrow are additionally available as chargeable options through a third-party escrow provider, under a tripartite registration agreement between Preservica, the institution and the escrow provider.</v>
      </c>
      <c r="E152" s="326" t="str">
        <f>VLOOKUP($A152,Product!$A$13:$E$61,5,0)&amp;""</f>
        <v>Provide references, as needed.</v>
      </c>
      <c r="F152" s="191"/>
      <c r="G152" s="30" t="str">
        <f>VLOOKUP($A152,Questions!$A$2:$X$333,21,0)&amp;""</f>
        <v>Yes</v>
      </c>
      <c r="H152" s="181"/>
      <c r="I152" s="45" t="str">
        <f>VLOOKUP($A152,Questions!$A$2:$X$333,23,0)&amp;""</f>
        <v>Critical Importance</v>
      </c>
      <c r="J152" s="181"/>
      <c r="K152" s="48" t="b">
        <v>0</v>
      </c>
      <c r="L152" s="1"/>
    </row>
    <row r="153" spans="1:12" s="29" customFormat="1" ht="409.5" x14ac:dyDescent="0.25">
      <c r="A153" s="19" t="str">
        <f>Product!$A$45</f>
        <v>DATA-07</v>
      </c>
      <c r="B153" s="20" t="str">
        <f>VLOOKUP($A153,Product!$A$13:$E$61,2,0)&amp;""</f>
        <v>Do backups containing the institution's data ever leave the institution's data zone either physically or via network routing?*</v>
      </c>
      <c r="C153" s="45" t="str">
        <f>VLOOKUP($A153,Product!$A$13:$E$61,3,0)&amp;""</f>
        <v>No</v>
      </c>
      <c r="D153" s="34" t="str">
        <f>IF(LEFT(VLOOKUP($A153,Product!$A$13:$E$61,5,0),21)='Auto Responses'!$A$32,'Auto Responses'!$A$33,VLOOKUP($A153,Product!$A$13:$E$61,4,0))&amp;""</f>
        <v>Institution data, including all backup copies, is stored and processed only within the geographic region specified in the Data Residency section of the institution's Order Form. This is a contractual and enforceable commitment: data is not moved, replicated or processed outside that region except where explicitly instructed by the institution or required by applicable law. Resilience and recovery arrangements are designed so that institution data does not move across regions or outside agreed jurisdictional boundaries, and sub-processors are approved and used on a region-dependent basis consistent with the same commitment.</v>
      </c>
      <c r="E153" s="326" t="str">
        <f>VLOOKUP($A153,Product!$A$13:$E$61,5,0)&amp;""</f>
        <v/>
      </c>
      <c r="F153" s="191"/>
      <c r="G153" s="30" t="str">
        <f>VLOOKUP($A153,Questions!$A$2:$X$333,21,0)&amp;""</f>
        <v>No</v>
      </c>
      <c r="H153" s="181"/>
      <c r="I153" s="45" t="str">
        <f>VLOOKUP($A153,Questions!$A$2:$X$333,23,0)&amp;""</f>
        <v>Critical Importance</v>
      </c>
      <c r="J153" s="181"/>
      <c r="K153" s="48" t="b">
        <v>0</v>
      </c>
      <c r="L153" s="1"/>
    </row>
    <row r="154" spans="1:12" s="29" customFormat="1" ht="409.5" x14ac:dyDescent="0.25">
      <c r="A154" s="19" t="str">
        <f>Product!$A$46</f>
        <v>DATA-08</v>
      </c>
      <c r="B154" s="20" t="str">
        <f>VLOOKUP($A154,Product!$A$13:$E$61,2,0)&amp;""</f>
        <v>Is media used for long-term retention of business data and archival purposes stored in a secure, environmentally protected area?*</v>
      </c>
      <c r="C154" s="45" t="str">
        <f>VLOOKUP($A154,Product!$A$13:$E$61,3,0)&amp;""</f>
        <v>Yes</v>
      </c>
      <c r="D154" s="34" t="str">
        <f>IF(LEFT(VLOOKUP($A154,Product!$A$13:$E$61,5,0),21)='Auto Responses'!$A$32,'Auto Responses'!$A$33,VLOOKUP($A154,Product!$A$13:$E$61,4,0))&amp;""</f>
        <v>Preservica does not operate its own data centres. Institution data, including long-term retention and archival copies, is held exclusively in AWS or Microsoft Azure facilities. Physical and environmental security of those facilities is the provider's responsibility and is covered by their own independently audited certifications and attestations, including ISO 27001 and SOC 2. Preservica reviews those certifications and attestations at least annually as part of its critical supplier review process, which operates under Preservica's ISO/IEC 27001:2022 and ISO 9001:2015 certified management systems. Preservica's own compliance documentation is available at https://preservica.com/trust-center</v>
      </c>
      <c r="E154" s="326" t="str">
        <f>VLOOKUP($A154,Product!$A$13:$E$61,5,0)&amp;""</f>
        <v>Provide a general summary of your archival environment.</v>
      </c>
      <c r="F154" s="191"/>
      <c r="G154" s="30" t="str">
        <f>VLOOKUP($A154,Questions!$A$2:$X$333,21,0)&amp;""</f>
        <v>Yes</v>
      </c>
      <c r="H154" s="181"/>
      <c r="I154" s="45" t="str">
        <f>VLOOKUP($A154,Questions!$A$2:$X$333,23,0)&amp;""</f>
        <v>Critical Importance</v>
      </c>
      <c r="J154" s="181"/>
      <c r="K154" s="48" t="b">
        <v>0</v>
      </c>
      <c r="L154" s="1"/>
    </row>
    <row r="155" spans="1:12" s="29" customFormat="1" ht="409.5" x14ac:dyDescent="0.25">
      <c r="A155" s="19" t="str">
        <f>Product!$A$47</f>
        <v>DATA-09</v>
      </c>
      <c r="B155" s="20" t="str">
        <f>VLOOKUP($A155,Product!$A$13:$E$61,2,0)&amp;""</f>
        <v>At the completion of this contract, will data be returned to the institution and/or deleted from all your systems and archives?</v>
      </c>
      <c r="C155" s="45" t="str">
        <f>VLOOKUP($A155,Product!$A$13:$E$61,3,0)&amp;""</f>
        <v>Yes</v>
      </c>
      <c r="D155" s="34" t="str">
        <f>IF(LEFT(VLOOKUP($A155,Product!$A$13:$E$61,5,0),21)='Auto Responses'!$A$32,'Auto Responses'!$A$33,VLOOKUP($A155,Product!$A$13:$E$61,4,0))&amp;""</f>
        <v>The platform includes built-in export functionality allowing the institution to export some or all of its content and metadata at any time in an open, machine-readable format; Preservica supports the OPEX (Open Preservation Exchange) standard for structured export of preservation content and metadata. Following termination, export remains available for the period stated in DATA-05, after which institution data is deleted. Where an entire environment or tenancy is deleted at the end of an agreement, Preservica can provide an Attestation of Deletion on request: a formal signed letter identifying the services, URLs, tenancy identifiers and cloud service providers in scope, and confirming that data has been securely and permanently deleted from Preservica's application databases and storage systems. Logical deletion is performed by Preservica; physical destruction of the underlying storage media is performed by the cloud service provider under its own independently audited processes.</v>
      </c>
      <c r="E155" s="326" t="str">
        <f>VLOOKUP($A155,Product!$A$13:$E$61,5,0)&amp;""</f>
        <v>State the length of time that the institution's data will be available in the system at the completion of the contract.</v>
      </c>
      <c r="F155" s="191"/>
      <c r="G155" s="30" t="str">
        <f>VLOOKUP($A155,Questions!$A$2:$X$333,21,0)&amp;""</f>
        <v>Yes</v>
      </c>
      <c r="H155" s="181"/>
      <c r="I155" s="45" t="str">
        <f>VLOOKUP($A155,Questions!$A$2:$X$333,23,0)&amp;""</f>
        <v>Standard Importance</v>
      </c>
      <c r="J155" s="181"/>
      <c r="K155" s="48" t="b">
        <v>0</v>
      </c>
      <c r="L155" s="1"/>
    </row>
    <row r="156" spans="1:12" s="29" customFormat="1" ht="375" x14ac:dyDescent="0.25">
      <c r="A156" s="19" t="str">
        <f>Product!$A$48</f>
        <v>DATA-10</v>
      </c>
      <c r="B156" s="20" t="str">
        <f>VLOOKUP($A156,Product!$A$13:$E$61,2,0)&amp;""</f>
        <v>Can the institution extract a full or partial backup of data?</v>
      </c>
      <c r="C156" s="45" t="str">
        <f>VLOOKUP($A156,Product!$A$13:$E$61,3,0)&amp;""</f>
        <v>Yes</v>
      </c>
      <c r="D156" s="34" t="str">
        <f>IF(LEFT(VLOOKUP($A156,Product!$A$13:$E$61,5,0),21)='Auto Responses'!$A$32,'Auto Responses'!$A$33,VLOOKUP($A156,Product!$A$13:$E$61,4,0))&amp;""</f>
        <v>Institutions can export some or all of their content and metadata at any time using the platform's built-in export functionality. Exports can also be driven programmatically through Preservica's documented REST APIs. Institution-applied metadata is preserved on export. Note that certain system-level audit records may not be exportable as part of a migration. This is a self-service export capability under the institution's control; it is not access to Preservica's own backup media.</v>
      </c>
      <c r="E156" s="326" t="str">
        <f>VLOOKUP($A156,Product!$A$13:$E$61,5,0)&amp;""</f>
        <v>Provide a general summary of how full and partial backups of data can be extracted.</v>
      </c>
      <c r="F156" s="191"/>
      <c r="G156" s="30" t="str">
        <f>VLOOKUP($A156,Questions!$A$2:$X$333,21,0)&amp;""</f>
        <v>Yes</v>
      </c>
      <c r="H156" s="181"/>
      <c r="I156" s="45" t="str">
        <f>VLOOKUP($A156,Questions!$A$2:$X$333,23,0)&amp;""</f>
        <v>Standard Importance</v>
      </c>
      <c r="J156" s="181"/>
      <c r="K156" s="48" t="b">
        <v>0</v>
      </c>
      <c r="L156" s="1"/>
    </row>
    <row r="157" spans="1:12" s="29" customFormat="1" ht="409.5" x14ac:dyDescent="0.25">
      <c r="A157" s="19" t="str">
        <f>Product!$A$49</f>
        <v>DATA-11</v>
      </c>
      <c r="B157" s="20" t="str">
        <f>VLOOKUP($A157,Product!$A$13:$E$61,2,0)&amp;""</f>
        <v>Do current backups include all operating system software, utilities, security software, application software, and data files necessary for recovery?</v>
      </c>
      <c r="C157" s="45" t="str">
        <f>VLOOKUP($A157,Product!$A$13:$E$61,3,0)&amp;""</f>
        <v>Yes</v>
      </c>
      <c r="D157" s="34" t="str">
        <f>IF(LEFT(VLOOKUP($A157,Product!$A$13:$E$61,5,0),21)='Auto Responses'!$A$32,'Auto Responses'!$A$33,VLOOKUP($A157,Product!$A$13:$E$61,4,0))&amp;""</f>
        <v>Preservica maintains backup and recovery arrangements sufficient to meet its contractual Recovery Point Objective of 24 hours and Recovery Time Objective of 4 hours for the service. Recovery is exercised at least semi-annually, and control effectiveness is independently audited as part of Preservica's SOC 2 Type II report, which is available to customers on request. Detailed backup implementation methods and retention schedules are not publicly disclosed. In addition, the platform performs ongoing fixity checking, validating stored content against recorded checksums and alerting on any discrepancy.</v>
      </c>
      <c r="E157" s="326" t="str">
        <f>VLOOKUP($A157,Product!$A$13:$E$61,5,0)&amp;""</f>
        <v>Describe your overall strategy to accomplish these elements.</v>
      </c>
      <c r="F157" s="191"/>
      <c r="G157" s="30" t="str">
        <f>VLOOKUP($A157,Questions!$A$2:$X$333,21,0)&amp;""</f>
        <v>Yes</v>
      </c>
      <c r="H157" s="181"/>
      <c r="I157" s="45" t="str">
        <f>VLOOKUP($A157,Questions!$A$2:$X$333,23,0)&amp;""</f>
        <v>Standard Importance</v>
      </c>
      <c r="J157" s="181"/>
      <c r="K157" s="48" t="b">
        <v>0</v>
      </c>
      <c r="L157" s="1"/>
    </row>
    <row r="158" spans="1:12" s="29" customFormat="1" ht="409.5" x14ac:dyDescent="0.25">
      <c r="A158" s="19" t="str">
        <f>Product!$A$50</f>
        <v>DATA-12</v>
      </c>
      <c r="B158" s="20" t="str">
        <f>VLOOKUP($A158,Product!$A$13:$E$61,2,0)&amp;""</f>
        <v>Are you performing off-site backups (i.e., digitally moved off site)?</v>
      </c>
      <c r="C158" s="45" t="str">
        <f>VLOOKUP($A158,Product!$A$13:$E$61,3,0)&amp;""</f>
        <v>No</v>
      </c>
      <c r="D158" s="34" t="str">
        <f>IF(LEFT(VLOOKUP($A158,Product!$A$13:$E$61,5,0),21)='Auto Responses'!$A$32,'Auto Responses'!$A$33,VLOOKUP($A158,Product!$A$13:$E$61,4,0))&amp;""</f>
        <v>Preservica does not operate a separate off-site backup facility, and does not replicate institution data to another geographic region. The service runs entirely on cloud infrastructure provided by AWS or Microsoft Azure, and all backup copies are held within the geographic region specified in the institution's Order Form; resilience and recovery arrangements are designed so that institution data does not move outside that contracted region. Preservica's recovery commitments are a Recovery Point Objective of 24 hours and a Recovery Time Objective of 4 hours, exercised at least semi-annually, with control effectiveness independently audited as part of its SOC 2 Type II report.</v>
      </c>
      <c r="E158" s="326" t="str">
        <f>VLOOKUP($A158,Product!$A$13:$E$61,5,0)&amp;""</f>
        <v>State any plans to implement off-site virtual backups in your environment.</v>
      </c>
      <c r="F158" s="191"/>
      <c r="G158" s="30" t="str">
        <f>VLOOKUP($A158,Questions!$A$2:$X$333,21,0)&amp;""</f>
        <v>Yes</v>
      </c>
      <c r="H158" s="181"/>
      <c r="I158" s="45" t="str">
        <f>VLOOKUP($A158,Questions!$A$2:$X$333,23,0)&amp;""</f>
        <v>Standard Importance</v>
      </c>
      <c r="J158" s="181"/>
      <c r="K158" s="48" t="b">
        <v>0</v>
      </c>
      <c r="L158" s="1"/>
    </row>
    <row r="159" spans="1:12" s="29" customFormat="1" ht="315" x14ac:dyDescent="0.25">
      <c r="A159" s="19" t="str">
        <f>Product!$A$51</f>
        <v>DATA-13</v>
      </c>
      <c r="B159" s="20" t="str">
        <f>VLOOKUP($A159,Product!$A$13:$E$61,2,0)&amp;""</f>
        <v>Are physical backups taken off-site (i.e., physically moved off site)?</v>
      </c>
      <c r="C159" s="45" t="str">
        <f>VLOOKUP($A159,Product!$A$13:$E$61,3,0)&amp;""</f>
        <v>No</v>
      </c>
      <c r="D159" s="34" t="str">
        <f>IF(LEFT(VLOOKUP($A159,Product!$A$13:$E$61,5,0),21)='Auto Responses'!$A$32,'Auto Responses'!$A$33,VLOOKUP($A159,Product!$A$13:$E$61,4,0))&amp;""</f>
        <v>Preservica does not operate its own data centres and does not use removable or portable physical media in the delivery of the service, so no physical backup media exists to be taken off site. All institution data is held in AWS or Microsoft Azure cloud storage within the institution's contracted geographic region. Within Preservica's own corporate environment, the use of mobile storage media such as USB drives is not authorised.</v>
      </c>
      <c r="E159" s="326" t="str">
        <f>VLOOKUP($A159,Product!$A$13:$E$61,5,0)&amp;""</f>
        <v>State any plans to implement off-site physical backups in your environment.</v>
      </c>
      <c r="F159" s="191"/>
      <c r="G159" s="30" t="str">
        <f>VLOOKUP($A159,Questions!$A$2:$X$333,21,0)&amp;""</f>
        <v>Yes</v>
      </c>
      <c r="H159" s="181"/>
      <c r="I159" s="45" t="str">
        <f>VLOOKUP($A159,Questions!$A$2:$X$333,23,0)&amp;""</f>
        <v>Standard Importance</v>
      </c>
      <c r="J159" s="181"/>
      <c r="K159" s="48" t="b">
        <v>0</v>
      </c>
      <c r="L159" s="1"/>
    </row>
    <row r="160" spans="1:12" s="29" customFormat="1" ht="225" x14ac:dyDescent="0.25">
      <c r="A160" s="19" t="str">
        <f>Product!$A$52</f>
        <v>DATA-14</v>
      </c>
      <c r="B160" s="20" t="str">
        <f>VLOOKUP($A160,Product!$A$13:$E$61,2,0)&amp;""</f>
        <v>Are data backups encrypted?</v>
      </c>
      <c r="C160" s="45" t="str">
        <f>VLOOKUP($A160,Product!$A$13:$E$61,3,0)&amp;""</f>
        <v>Yes</v>
      </c>
      <c r="D160" s="34" t="str">
        <f>IF(LEFT(VLOOKUP($A160,Product!$A$13:$E$61,5,0),21)='Auto Responses'!$A$32,'Auto Responses'!$A$33,VLOOKUP($A160,Product!$A$13:$E$61,4,0))&amp;""</f>
        <v>Backups and snapshots are encrypted at rest using AES-256, with keys managed through the key management services of the underlying cloud provider and access restricted to authorised personnel on a least-privilege basis. Backup copies remain within the institution's contracted geographic region.</v>
      </c>
      <c r="E160" s="326" t="str">
        <f>VLOOKUP($A160,Product!$A$13:$E$61,5,0)&amp;""</f>
        <v>Summarize the encryption algorithm/strategy you are using to secure backups.</v>
      </c>
      <c r="F160" s="191"/>
      <c r="G160" s="30" t="str">
        <f>VLOOKUP($A160,Questions!$A$2:$X$333,21,0)&amp;""</f>
        <v>Yes</v>
      </c>
      <c r="H160" s="181"/>
      <c r="I160" s="45" t="str">
        <f>VLOOKUP($A160,Questions!$A$2:$X$333,23,0)&amp;""</f>
        <v>Minor Importance</v>
      </c>
      <c r="J160" s="181"/>
      <c r="K160" s="48" t="b">
        <v>0</v>
      </c>
      <c r="L160" s="1"/>
    </row>
    <row r="161" spans="1:12" s="29" customFormat="1" ht="409.5" x14ac:dyDescent="0.25">
      <c r="A161" s="19" t="str">
        <f>Product!$A$53</f>
        <v>DATA-15</v>
      </c>
      <c r="B161" s="20" t="str">
        <f>VLOOKUP($A161,Product!$A$13:$E$61,2,0)&amp;""</f>
        <v>Do you have a media handling process that is documented and currently implemented that meets established business needs and regulatory requirements, including end-of-life, repurposing, and data-sanitization procedures?</v>
      </c>
      <c r="C161" s="45" t="str">
        <f>VLOOKUP($A161,Product!$A$13:$E$61,3,0)&amp;""</f>
        <v>Yes</v>
      </c>
      <c r="D161" s="34" t="str">
        <f>IF(LEFT(VLOOKUP($A161,Product!$A$13:$E$61,5,0),21)='Auto Responses'!$A$32,'Auto Responses'!$A$33,VLOOKUP($A161,Product!$A$13:$E$61,4,0))&amp;""</f>
        <v>Preservica does not operate its own data centres and does not use removable physical media in the delivery of the service. Media handling, end-of-life disposal, repurposing and sanitisation of storage hardware are performed by the cloud infrastructure providers (AWS and Microsoft Azure) under their own documented and independently audited processes; Preservica reviews those certifications and attestations at least annually as part of its critical supplier review process. Logical deletion of institution data within the platform is performed by Preservica in accordance with its retention determination and policy; physical destruction of the underlying media is the provider's responsibility. Within Preservica's own corporate environment, the use of mobile storage media such as USB drives is not authorised.</v>
      </c>
      <c r="E161" s="326" t="str">
        <f>VLOOKUP($A161,Product!$A$13:$E$61,5,0)&amp;""</f>
        <v>Provide documented details of this process (link or attached).</v>
      </c>
      <c r="F161" s="191"/>
      <c r="G161" s="30" t="str">
        <f>VLOOKUP($A161,Questions!$A$2:$X$333,21,0)&amp;""</f>
        <v>Yes</v>
      </c>
      <c r="H161" s="181"/>
      <c r="I161" s="45" t="str">
        <f>VLOOKUP($A161,Questions!$A$2:$X$333,23,0)&amp;""</f>
        <v>Standard Importance</v>
      </c>
      <c r="J161" s="181"/>
      <c r="K161" s="48" t="b">
        <v>0</v>
      </c>
      <c r="L161" s="1"/>
    </row>
    <row r="162" spans="1:12" s="29" customFormat="1" ht="375" x14ac:dyDescent="0.25">
      <c r="A162" s="19" t="str">
        <f>Product!$A$54</f>
        <v>DATA-16</v>
      </c>
      <c r="B162" s="20" t="str">
        <f>VLOOKUP($A162,Product!$A$13:$E$61,2,0)&amp;""</f>
        <v>Does the process described in DATA-15 adhere to DoD 5220.22-M and/or NIST SP 800-88 standards?</v>
      </c>
      <c r="C162" s="45" t="str">
        <f>VLOOKUP($A162,Product!$A$13:$E$61,3,0)&amp;""</f>
        <v>Yes</v>
      </c>
      <c r="D162" s="34" t="str">
        <f>IF(LEFT(VLOOKUP($A162,Product!$A$13:$E$61,5,0),21)='Auto Responses'!$A$32,'Auto Responses'!$A$33,VLOOKUP($A162,Product!$A$13:$E$61,4,0))&amp;""</f>
        <v>The applicable media sanitisation processes are those of the cloud infrastructure provider. Preservica's platform runs on AWS or Microsoft Azure depending on the institution's configuration, and each provider publishes its media sanitisation and destruction practices and the standards to which they conform — for AWS, see https://aws.amazon.com/compliance/data-center/data-layer/. Preservica reviews these certifications and attestations at least annually as part of its critical supplier review process.</v>
      </c>
      <c r="E162" s="326" t="str">
        <f>VLOOKUP($A162,Product!$A$13:$E$61,5,0)&amp;""</f>
        <v/>
      </c>
      <c r="F162" s="191"/>
      <c r="G162" s="30" t="str">
        <f>VLOOKUP($A162,Questions!$A$2:$X$333,21,0)&amp;""</f>
        <v>Yes</v>
      </c>
      <c r="H162" s="181"/>
      <c r="I162" s="45" t="str">
        <f>VLOOKUP($A162,Questions!$A$2:$X$333,23,0)&amp;""</f>
        <v>Standard Importance</v>
      </c>
      <c r="J162" s="181"/>
      <c r="K162" s="48" t="b">
        <v>0</v>
      </c>
      <c r="L162" s="1"/>
    </row>
    <row r="163" spans="1:12" s="29" customFormat="1" ht="409.5" x14ac:dyDescent="0.25">
      <c r="A163" s="19" t="str">
        <f>Product!$A$55</f>
        <v>DATA-17</v>
      </c>
      <c r="B163" s="20" t="str">
        <f>VLOOKUP($A163,Product!$A$13:$E$61,2,0)&amp;""</f>
        <v>Does your staff (or third party) have access to institutional data (e.g., financial, PHI, or other sensitive information) through any means?</v>
      </c>
      <c r="C163" s="45" t="str">
        <f>VLOOKUP($A163,Product!$A$13:$E$61,3,0)&amp;""</f>
        <v>Yes</v>
      </c>
      <c r="D163" s="34" t="str">
        <f>IF(LEFT(VLOOKUP($A163,Product!$A$13:$E$61,5,0),21)='Auto Responses'!$A$32,'Auto Responses'!$A$33,VLOOKUP($A163,Product!$A$13:$E$61,4,0))&amp;""</f>
        <v>Preservica staff do not have routine or standing access to institution data. Access can occur only through the following limited, controlled paths. (1) Customer Support: access to an institution's environment only in response to an institution-raised support ticket, and only where the institution has explicitly approved that access on the ticket; access uses a support account created in the tenancy's directory that is deliberately visible to the institution, is removed when the need ends, and can be revoked by the institution at any time. (2) Professional Services: where a long-running engagement requires ongoing access, this is granted by the institution at the start of the engagement, either in the tenancy directory or, where Single Sign-On is used, by the institution within its own Identity Provider. (3) Legal requirement: only under a binding order of a competent authority, subject to sign-off by Preservica's Legal team. (4) Imminent security threat: only where necessary to prevent damage or loss, with the approval of Preservica's Chief Information Security Officer. (5) Cloud Operations: as administrators of the underlying SaaS infrastructure, Preservica's Cloud Operations team hold infrastructure-level privileges that carry administrative capability outside the application layer; all such access is logged to Preservica's SIEM and is subject to need-to-know controls, monitoring and audit. In all cases access is least-privilege, logged and auditable. Access rights are reviewed at least every six months and removed when the business need ceases; where an institution's system contains sensitive regulated information, access is terminated immediately upon the institution's request. Where access is required, it is performed by authorised personnel based in the United Kingdom or the United States. Preservica's sub-processors are AWS or Microsoft Azure, as specified in the institution's Order Form, and Cloudflare on Professional edition and above; Preservica accepts responsibility for its sub-processors under its standard Terms and Conditions.</v>
      </c>
      <c r="E163" s="326" t="str">
        <f>VLOOKUP($A163,Product!$A$13:$E$61,5,0)&amp;""</f>
        <v>Summarize what access staff (or third parties) have to institutional data.</v>
      </c>
      <c r="F163" s="191"/>
      <c r="G163" s="30" t="str">
        <f>VLOOKUP($A163,Questions!$A$2:$X$333,21,0)&amp;""</f>
        <v>No</v>
      </c>
      <c r="H163" s="181"/>
      <c r="I163" s="45" t="str">
        <f>VLOOKUP($A163,Questions!$A$2:$X$333,23,0)&amp;""</f>
        <v>Standard Importance</v>
      </c>
      <c r="J163" s="181"/>
      <c r="K163" s="48" t="b">
        <v>0</v>
      </c>
      <c r="L163" s="1"/>
    </row>
    <row r="164" spans="1:12" s="29" customFormat="1" ht="409.5" x14ac:dyDescent="0.25">
      <c r="A164" s="19" t="str">
        <f>Product!$A$56</f>
        <v>DATA-18</v>
      </c>
      <c r="B164" s="20" t="str">
        <f>VLOOKUP($A164,Product!$A$13:$E$61,2,0)&amp;""</f>
        <v>Do you have a documented and currently implemented strategy for securing employee workstations when they work remotely (i.e., not in a trusted computing environment)?</v>
      </c>
      <c r="C164" s="45" t="str">
        <f>VLOOKUP($A164,Product!$A$13:$E$61,3,0)&amp;""</f>
        <v>Yes</v>
      </c>
      <c r="D164" s="34" t="str">
        <f>IF(LEFT(VLOOKUP($A164,Product!$A$13:$E$61,5,0),21)='Auto Responses'!$A$32,'Auto Responses'!$A$33,VLOOKUP($A164,Product!$A$13:$E$61,4,0))&amp;""</f>
        <v>Preservica maintains documented controls for staff working outside its offices. Remote access to Preservica systems is via secure VPN protected by Microsoft Entra ID accounts with multi-factor authentication enforced. Access is granted on least-privilege and need-to-know principles using role-based access control; privileged accounts are held separately from day-to-day accounts, and access rights are reviewed at least every six months and on role change or termination. Staff password requirements meet defined length and complexity standards, multi-factor authentication is enforced for staff access, and a company-approved, MFA-protected password manager is mandated. The use of mobile storage media such as USB drives is not authorised. These controls fall within the scope of Preservica's ISO/IEC 27001:2022 certification and are independently tested as part of its annual SOC 2 Type II report. Separately, under Preservica's Shared Responsibility Model, endpoint protection on the devices an institution's own users use to access the service remains the institution's responsibility.</v>
      </c>
      <c r="E164" s="326" t="str">
        <f>VLOOKUP($A164,Product!$A$13:$E$61,5,0)&amp;""</f>
        <v>Provide a detailed summary outlining the security controls implemented to protect the institution's data.</v>
      </c>
      <c r="F164" s="191"/>
      <c r="G164" s="30" t="str">
        <f>VLOOKUP($A164,Questions!$A$2:$X$333,21,0)&amp;""</f>
        <v>Yes</v>
      </c>
      <c r="H164" s="181"/>
      <c r="I164" s="45" t="str">
        <f>VLOOKUP($A164,Questions!$A$2:$X$333,23,0)&amp;""</f>
        <v>Standard Importance</v>
      </c>
      <c r="J164" s="181"/>
      <c r="K164" s="48" t="b">
        <v>0</v>
      </c>
      <c r="L164" s="1"/>
    </row>
    <row r="165" spans="1:12" s="29" customFormat="1" ht="409.5" x14ac:dyDescent="0.25">
      <c r="A165" s="19" t="str">
        <f>Product!$A$57</f>
        <v>DATA-19</v>
      </c>
      <c r="B165" s="20" t="str">
        <f>VLOOKUP($A165,Product!$A$13:$E$61,2,0)&amp;""</f>
        <v>Does the environment provide for dedicated single-tenant capabilities? If not, describe how your solution or environment separates data from different customers (e.g., logically, physically, single tenancy, multi-tenancy).</v>
      </c>
      <c r="C165" s="45" t="str">
        <f>VLOOKUP($A165,Product!$A$13:$E$61,3,0)&amp;""</f>
        <v>Yes</v>
      </c>
      <c r="D165" s="34" t="str">
        <f>IF(LEFT(VLOOKUP($A165,Product!$A$13:$E$61,5,0),21)='Auto Responses'!$A$32,'Auto Responses'!$A$33,VLOOKUP($A165,Product!$A$13:$E$61,4,0))&amp;""</f>
        <v>Both models are available. Starter, Starter Plus, Professional, Professional Plus and Enterprise editions run in regional multi-tenant environments; to provide a cost-effective service these share processing infrastructure and the database platform, but institution data uploaded to the service is always stored at rest in customer-specific storage containers and cannot be reached by other customers. Enterprise Plus, and Enterprise Plus with the Performance Pack, provide entirely dedicated processing infrastructure per customer in addition to those controls, in a separate cloud account or subscription with unique encryption keys that are not shared. Institutions may also purchase multiple tenancies where further separation is required. Within a single tenancy, institutions can create their own logical partitions using folder structures and Security Tags to segregate content and control access — for example by business unit, department or project — with role permissions scoped to those tags.</v>
      </c>
      <c r="E165" s="326" t="str">
        <f>VLOOKUP($A165,Product!$A$13:$E$61,5,0)&amp;""</f>
        <v>Describe or provide a reference to how institution data is separated from that of other customers.</v>
      </c>
      <c r="F165" s="191"/>
      <c r="G165" s="30" t="str">
        <f>VLOOKUP($A165,Questions!$A$2:$X$333,21,0)&amp;""</f>
        <v>Yes</v>
      </c>
      <c r="H165" s="181"/>
      <c r="I165" s="45" t="str">
        <f>VLOOKUP($A165,Questions!$A$2:$X$333,23,0)&amp;""</f>
        <v>Minor Importance</v>
      </c>
      <c r="J165" s="181"/>
      <c r="K165" s="48" t="b">
        <v>0</v>
      </c>
      <c r="L165" s="1"/>
    </row>
    <row r="166" spans="1:12" s="29" customFormat="1" ht="405" x14ac:dyDescent="0.25">
      <c r="A166" s="19" t="str">
        <f>Product!$A$58</f>
        <v>DATA-20</v>
      </c>
      <c r="B166" s="20" t="str">
        <f>VLOOKUP($A166,Product!$A$13:$E$61,2,0)&amp;""</f>
        <v>Are ownership rights to all data, inputs, outputs, and metadata retained by the institution?</v>
      </c>
      <c r="C166" s="45" t="str">
        <f>VLOOKUP($A166,Product!$A$13:$E$61,3,0)&amp;""</f>
        <v>Yes</v>
      </c>
      <c r="D166" s="34" t="str">
        <f>IF(LEFT(VLOOKUP($A166,Product!$A$13:$E$61,5,0),21)='Auto Responses'!$A$32,'Auto Responses'!$A$33,VLOOKUP($A166,Product!$A$13:$E$61,4,0))&amp;""</f>
        <v>Ownership of all data, inputs, outputs and metadata is retained by the institution at all times, as set out in the contract Terms and Conditions. Preservica processes institution data only to provide the contracted service, on the institution's instructions and as required by applicable law. Institutions determine the classification and sensitivity of the data they store, and can export some or all of their content and metadata at any time; institution-applied metadata, including custom metadata schemas, is preserved on export via the OPEX standard.</v>
      </c>
      <c r="E166" s="326" t="str">
        <f>VLOOKUP($A166,Product!$A$13:$E$61,5,0)&amp;""</f>
        <v>Provide reference to your data ownership documentation.</v>
      </c>
      <c r="F166" s="191"/>
      <c r="G166" s="30" t="str">
        <f>VLOOKUP($A166,Questions!$A$2:$X$333,21,0)&amp;""</f>
        <v>Yes</v>
      </c>
      <c r="H166" s="181"/>
      <c r="I166" s="45" t="str">
        <f>VLOOKUP($A166,Questions!$A$2:$X$333,23,0)&amp;""</f>
        <v>Minor Importance</v>
      </c>
      <c r="J166" s="181"/>
      <c r="K166" s="48" t="b">
        <v>0</v>
      </c>
      <c r="L166" s="1"/>
    </row>
    <row r="167" spans="1:12" s="29" customFormat="1" ht="180" x14ac:dyDescent="0.25">
      <c r="A167" s="19" t="str">
        <f>Product!$A$59</f>
        <v>DATA-21</v>
      </c>
      <c r="B167" s="20" t="str">
        <f>VLOOKUP($A167,Product!$A$13:$E$61,2,0)&amp;""</f>
        <v>In the event of imminent bankruptcy, closing of business, or retirement of service, will you provide 90 days for customers to get their data out of the system and migrate applications?</v>
      </c>
      <c r="C167" s="45" t="str">
        <f>VLOOKUP($A167,Product!$A$13:$E$61,3,0)&amp;""</f>
        <v>Yes</v>
      </c>
      <c r="D167" s="34" t="str">
        <f>IF(LEFT(VLOOKUP($A167,Product!$A$13:$E$61,5,0),21)='Auto Responses'!$A$32,'Auto Responses'!$A$33,VLOOKUP($A167,Product!$A$13:$E$61,4,0))&amp;""</f>
        <v>Preservica will notify affected customers through their primary contact where legally possible. Some of our customers arrange for escrow services should this be of interest to Higher Education facilities. In addition, customers can export their data at any time.</v>
      </c>
      <c r="E167" s="326" t="str">
        <f>VLOOKUP($A167,Product!$A$13:$E$61,5,0)&amp;""</f>
        <v>State how the institution will be notified of imminent termination.</v>
      </c>
      <c r="F167" s="191"/>
      <c r="G167" s="30" t="str">
        <f>VLOOKUP($A167,Questions!$A$2:$X$333,21,0)&amp;""</f>
        <v>Yes</v>
      </c>
      <c r="H167" s="181"/>
      <c r="I167" s="45" t="str">
        <f>VLOOKUP($A167,Questions!$A$2:$X$333,23,0)&amp;""</f>
        <v>Minor Importance</v>
      </c>
      <c r="J167" s="181"/>
      <c r="K167" s="48" t="b">
        <v>0</v>
      </c>
      <c r="L167" s="1"/>
    </row>
    <row r="168" spans="1:12" s="29" customFormat="1" ht="409.5" x14ac:dyDescent="0.25">
      <c r="A168" s="19" t="str">
        <f>Product!$A$60</f>
        <v>DATA-22</v>
      </c>
      <c r="B168" s="20" t="str">
        <f>VLOOKUP($A168,Product!$A$13:$E$61,2,0)&amp;""</f>
        <v>Are involatile backup copies made according to predefined schedules and securely stored and protected?</v>
      </c>
      <c r="C168" s="45" t="str">
        <f>VLOOKUP($A168,Product!$A$13:$E$61,3,0)&amp;""</f>
        <v>Yes</v>
      </c>
      <c r="D168" s="34" t="str">
        <f>IF(LEFT(VLOOKUP($A168,Product!$A$13:$E$61,5,0),21)='Auto Responses'!$A$32,'Auto Responses'!$A$33,VLOOKUP($A168,Product!$A$13:$E$61,4,0))&amp;""</f>
        <v>Backup copies are taken to a defined schedule sufficient to meet Preservica's contractual Recovery Point Objective of 24 hours — that is, backups are taken at a frequency ensuring no more than 24 hours of data loss — and are held encrypted at rest with AES-256 within the institution's contracted geographic region, with access restricted on a least-privilege basis. Recovery is exercised at least semi-annually against a Recovery Time Objective of 4 hours, and control effectiveness is independently audited as part of Preservica's SOC 2 Type II report, which is available to customers on request. Retention schedules and detailed backup implementation methods are not publicly disclosed. In addition, the platform performs ongoing fixity checking, validating stored content against recorded checksums and alerting on any discrepancy.</v>
      </c>
      <c r="E168" s="326" t="str">
        <f>VLOOKUP($A168,Product!$A$13:$E$61,5,0)&amp;""</f>
        <v>If your strategy uses different processes for services and data, ensure that all strategies are clearly stated and supported.</v>
      </c>
      <c r="F168" s="191"/>
      <c r="G168" s="30" t="str">
        <f>VLOOKUP($A168,Questions!$A$2:$X$333,21,0)&amp;""</f>
        <v>Yes</v>
      </c>
      <c r="H168" s="181"/>
      <c r="I168" s="45" t="str">
        <f>VLOOKUP($A168,Questions!$A$2:$X$333,23,0)&amp;""</f>
        <v>Minor Importance</v>
      </c>
      <c r="J168" s="181"/>
      <c r="K168" s="48" t="b">
        <v>0</v>
      </c>
      <c r="L168" s="1"/>
    </row>
    <row r="169" spans="1:12" s="29" customFormat="1" ht="409.5" x14ac:dyDescent="0.25">
      <c r="A169" s="19" t="str">
        <f>Product!$A$61</f>
        <v>DATA-23</v>
      </c>
      <c r="B169" s="20" t="str">
        <f>VLOOKUP($A169,Product!$A$13:$E$61,2,0)&amp;""</f>
        <v>Do you have a cryptographic key management process (generation, exchange, storage, safeguards, use, vetting, and replacement) that is documented and currently implemented, for all system components (e.g., database, system, web, etc.)?</v>
      </c>
      <c r="C169" s="45" t="str">
        <f>VLOOKUP($A169,Product!$A$13:$E$61,3,0)&amp;""</f>
        <v>Yes</v>
      </c>
      <c r="D169" s="34" t="str">
        <f>IF(LEFT(VLOOKUP($A169,Product!$A$13:$E$61,5,0),21)='Auto Responses'!$A$32,'Auto Responses'!$A$33,VLOOKUP($A169,Product!$A$13:$E$61,4,0))&amp;""</f>
        <v>Preservica operates a documented cryptographic key management process covering key generation, storage, distribution, rotation, compromise handling, revocation, and backup and destruction, and maintains an inventory of the cryptographic material in use across the platform's database, system and web components. Keys are managed through the key management services of the underlying cloud provider, are protected against unauthorised access, are stored separately from the data they protect where technically feasible, and access is restricted to authorised personnel on a least-privilege basis. Institutions hosted on dedicated infrastructure hold unique keys that are not shared with any other customer. Known or suspected key compromise is treated as a security incident and handled under documented procedures. The process is maintained in accordance with ISO/IEC 27001:2022 controls and its effectiveness is audited as part of Preservica's annual SOC 2 Type II report.</v>
      </c>
      <c r="E169" s="326" t="str">
        <f>VLOOKUP($A169,Product!$A$13:$E$61,5,0)&amp;""</f>
        <v>Summarize your cryptographic key management process.</v>
      </c>
      <c r="F169" s="191"/>
      <c r="G169" s="30" t="str">
        <f>VLOOKUP($A169,Questions!$A$2:$X$333,21,0)&amp;""</f>
        <v>Yes</v>
      </c>
      <c r="H169" s="181"/>
      <c r="I169" s="45" t="str">
        <f>VLOOKUP($A169,Questions!$A$2:$X$333,23,0)&amp;""</f>
        <v>Minor Importance</v>
      </c>
      <c r="J169" s="181"/>
      <c r="K169" s="48" t="b">
        <v>0</v>
      </c>
      <c r="L169" s="1"/>
    </row>
    <row r="170" spans="1:12" s="1" customFormat="1" ht="17.5" x14ac:dyDescent="0.25">
      <c r="A170" s="63" t="str">
        <f>VLOOKUP(LEFT($A171,4),'Auto Responses'!$N$4:$O$38,2,0)&amp;""</f>
        <v xml:space="preserve"> Application/Service Security</v>
      </c>
      <c r="B170" s="22"/>
      <c r="C170" s="31"/>
      <c r="D170" s="31"/>
      <c r="E170" s="327"/>
      <c r="F170" s="128" t="s">
        <v>632</v>
      </c>
      <c r="G170" s="331" t="s">
        <v>627</v>
      </c>
      <c r="H170" s="331" t="s">
        <v>628</v>
      </c>
      <c r="I170" s="331" t="s">
        <v>629</v>
      </c>
      <c r="J170" s="331" t="s">
        <v>630</v>
      </c>
      <c r="K170" s="331" t="s">
        <v>631</v>
      </c>
    </row>
    <row r="171" spans="1:12" s="29" customFormat="1" ht="409.5" x14ac:dyDescent="0.25">
      <c r="A171" s="19" t="str">
        <f>Infrastructure!$A$20</f>
        <v>APPL-01</v>
      </c>
      <c r="B171" s="20" t="str">
        <f>VLOOKUP($A171,Infrastructure!$A$13:$E$74,2,0)&amp;""</f>
        <v>Are access controls for institutional accounts based on structured rules, such as role-based access control (RBAC), attribute-based access control (ABAC), or policy-based access control (PBAC)?*</v>
      </c>
      <c r="C171" s="45" t="str">
        <f>VLOOKUP($A171,Infrastructure!$A$13:$E$74,3,0)&amp;""</f>
        <v>Yes</v>
      </c>
      <c r="D171" s="34" t="str">
        <f>IF(LEFT(VLOOKUP($A171,Infrastructure!$A$13:$E$74,5,0),21)='Auto Responses'!$A$32,'Auto Responses'!$A$33,VLOOKUP($A171,Infrastructure!$A$13:$E$74,4,0))&amp;""</f>
        <v>Preservica implements role-based access control (RBAC). Predefined roles are: Manager User (all functional areas, excluding certain system-wide settings reserved to the SaaS provider); Access User (Explorer interface, search, and access-related reports and workflows); Ingest User (ingest-related reports and workflows); Data Management User (data management reports and workflows); Transform User (preservation-related reports and workflows, plus read access to the Technical Registry); Registry Admin User (modify the Technical Registry); Submitter User (no main application access, limited content access via the CMIS and REST APIs); and Anonymous User (no main application access, limited content access via the CMIS and REST APIs). Each predefined role can be granted permissions scoped to specific content tags, and institutions can define their own custom roles with permissions similarly scoped. Institutions configure roles and permissions within their tenancy in line with their own security policies.</v>
      </c>
      <c r="E171" s="326" t="str">
        <f>VLOOKUP($A171,Infrastructure!$A$13:$E$74,5,0)&amp;""</f>
        <v>Describe available roles.</v>
      </c>
      <c r="F171" s="191"/>
      <c r="G171" s="30" t="str">
        <f>VLOOKUP($A171,Questions!$A$2:$X$333,21,0)&amp;""</f>
        <v>Yes</v>
      </c>
      <c r="H171" s="181"/>
      <c r="I171" s="45" t="str">
        <f>VLOOKUP($A171,Questions!$A$2:$X$333,23,0)&amp;""</f>
        <v>Critical Importance</v>
      </c>
      <c r="J171" s="181"/>
      <c r="K171" s="48" t="b">
        <v>0</v>
      </c>
      <c r="L171" s="1"/>
    </row>
    <row r="172" spans="1:12" s="29" customFormat="1" ht="360" x14ac:dyDescent="0.25">
      <c r="A172" s="19" t="str">
        <f>Infrastructure!$A$21</f>
        <v>APPL-02</v>
      </c>
      <c r="B172" s="20" t="str">
        <f>VLOOKUP($A172,Infrastructure!$A$13:$E$74,2,0)&amp;""</f>
        <v>Are you using a web application firewall (WAF)?*</v>
      </c>
      <c r="C172" s="45" t="str">
        <f>VLOOKUP($A172,Infrastructure!$A$13:$E$74,3,0)&amp;""</f>
        <v>Yes</v>
      </c>
      <c r="D172" s="34" t="str">
        <f>IF(LEFT(VLOOKUP($A172,Infrastructure!$A$13:$E$74,5,0),21)='Auto Responses'!$A$32,'Auto Responses'!$A$33,VLOOKUP($A172,Infrastructure!$A$13:$E$74,4,0))&amp;""</f>
        <v>Preservica's SaaS infrastructure includes a Cloudflare Web Application Firewall protecting customer production domains, with Cloudflare managed rules enabled. It is included in the subscription for Professional edition and above. All customer environments additionally include DDoS protection, which the Web Application Firewall detects and mitigates. Further information on Preservica's security controls is published at https://preservica.com/trust-center.</v>
      </c>
      <c r="E172" s="326" t="str">
        <f>VLOOKUP($A172,Infrastructure!$A$13:$E$74,5,0)&amp;""</f>
        <v>Describe the currently implemented WAF.</v>
      </c>
      <c r="F172" s="191"/>
      <c r="G172" s="30" t="str">
        <f>VLOOKUP($A172,Questions!$A$2:$X$333,21,0)&amp;""</f>
        <v>Yes</v>
      </c>
      <c r="H172" s="181"/>
      <c r="I172" s="45" t="str">
        <f>VLOOKUP($A172,Questions!$A$2:$X$333,23,0)&amp;""</f>
        <v>Critical Importance</v>
      </c>
      <c r="J172" s="181"/>
      <c r="K172" s="48" t="b">
        <v>0</v>
      </c>
      <c r="L172" s="1"/>
    </row>
    <row r="173" spans="1:12" s="29" customFormat="1" ht="409.5" x14ac:dyDescent="0.25">
      <c r="A173" s="19" t="str">
        <f>Infrastructure!$A$22</f>
        <v>APPL-03</v>
      </c>
      <c r="B173" s="20" t="str">
        <f>VLOOKUP($A173,Infrastructure!$A$13:$E$74,2,0)&amp;""</f>
        <v>Are only currently supported operating system(s), software, and libraries leveraged by the system(s)/application(s) that will have access to institution's data?*</v>
      </c>
      <c r="C173" s="45" t="str">
        <f>VLOOKUP($A173,Infrastructure!$A$13:$E$74,3,0)&amp;""</f>
        <v>Yes</v>
      </c>
      <c r="D173" s="34" t="str">
        <f>IF(LEFT(VLOOKUP($A173,Infrastructure!$A$13:$E$74,5,0),21)='Auto Responses'!$A$32,'Auto Responses'!$A$33,VLOOKUP($A173,Infrastructure!$A$13:$E$74,4,0))&amp;""</f>
        <v>Preservica is a SaaS platform and manages all components itself; the institution has no dependencies to install or maintain. To the extent reasonably and commercially possible, all components used within the platform are kept up to date and in line with vendor-supported versions. An end-of-life or end-of-support component version may be retained only where no known vulnerabilities are present in that version; on detection of a vulnerability in such a component it is remediated under Preservica's Vulnerability and Patch Management Policy. All new third-party and open-source components are reviewed and approved before adoption, are recorded in an authoritative component register reviewed annually, and are monitored continuously by automated static analysis and dependency-analysis tooling for both vulnerabilities and licence risk. These controls fall within the scope of Preservica's ISO/IEC 27001:2022 certification and are independently tested within its annual SOC 2 Type II audit. A component-level inventory is not published.</v>
      </c>
      <c r="E173" s="326" t="str">
        <f>VLOOKUP($A173,Infrastructure!$A$13:$E$74,5,0)&amp;""</f>
        <v>Please provide a list of all required dependencies.</v>
      </c>
      <c r="F173" s="191"/>
      <c r="G173" s="30" t="str">
        <f>VLOOKUP($A173,Questions!$A$2:$X$333,21,0)&amp;""</f>
        <v>Yes</v>
      </c>
      <c r="H173" s="181"/>
      <c r="I173" s="45" t="str">
        <f>VLOOKUP($A173,Questions!$A$2:$X$333,23,0)&amp;""</f>
        <v>Critical Importance</v>
      </c>
      <c r="J173" s="181"/>
      <c r="K173" s="48" t="b">
        <v>0</v>
      </c>
      <c r="L173" s="1"/>
    </row>
    <row r="174" spans="1:12" s="29" customFormat="1" ht="105" x14ac:dyDescent="0.25">
      <c r="A174" s="19" t="str">
        <f>Infrastructure!$A$23</f>
        <v>APPL-04</v>
      </c>
      <c r="B174" s="20" t="str">
        <f>VLOOKUP($A174,Infrastructure!$A$13:$E$74,2,0)&amp;""</f>
        <v>Does your application require access to location or GPS data?*</v>
      </c>
      <c r="C174" s="45" t="str">
        <f>VLOOKUP($A174,Infrastructure!$A$13:$E$74,3,0)&amp;""</f>
        <v>No</v>
      </c>
      <c r="D174" s="34" t="str">
        <f>IF(LEFT(VLOOKUP($A174,Infrastructure!$A$13:$E$74,5,0),21)='Auto Responses'!$A$32,'Auto Responses'!$A$33,VLOOKUP($A174,Infrastructure!$A$13:$E$74,4,0))&amp;""</f>
        <v>The application does not require or request access to device location or GPS data, and there are no plans to introduce such a requirement.</v>
      </c>
      <c r="E174" s="326" t="str">
        <f>VLOOKUP($A174,Infrastructure!$A$13:$E$74,5,0)&amp;""</f>
        <v>Please indicate any future plans that would require access to this data</v>
      </c>
      <c r="F174" s="191"/>
      <c r="G174" s="30" t="str">
        <f>VLOOKUP($A174,Questions!$A$2:$X$333,21,0)&amp;""</f>
        <v>No</v>
      </c>
      <c r="H174" s="181"/>
      <c r="I174" s="45" t="str">
        <f>VLOOKUP($A174,Questions!$A$2:$X$333,23,0)&amp;""</f>
        <v>Critical Importance</v>
      </c>
      <c r="J174" s="181"/>
      <c r="K174" s="48" t="b">
        <v>0</v>
      </c>
      <c r="L174" s="1"/>
    </row>
    <row r="175" spans="1:12" s="29" customFormat="1" ht="409.5" x14ac:dyDescent="0.25">
      <c r="A175" s="19" t="str">
        <f>Infrastructure!$A$24</f>
        <v>APPL-05</v>
      </c>
      <c r="B175" s="20" t="str">
        <f>VLOOKUP($A175,Infrastructure!$A$13:$E$74,2,0)&amp;""</f>
        <v>Does your application provide separation of duties between security administration, system administration, and standard user functions?*</v>
      </c>
      <c r="C175" s="45" t="str">
        <f>VLOOKUP($A175,Infrastructure!$A$13:$E$74,3,0)&amp;""</f>
        <v>Yes</v>
      </c>
      <c r="D175" s="34" t="str">
        <f>IF(LEFT(VLOOKUP($A175,Infrastructure!$A$13:$E$74,5,0),21)='Auto Responses'!$A$32,'Auto Responses'!$A$33,VLOOKUP($A175,Infrastructure!$A$13:$E$74,4,0))&amp;""</f>
        <v>Separation of duties is supported at two levels. Within the application, functional areas are separated across distinct predefined roles — access, ingest, data management, preservation/transform, and technical registry administration — and the Manager User role deliberately excludes certain system-wide settings, which are reserved to Preservica as the SaaS provider. Permissions for any predefined or custom role can be scoped to specific content tags, allowing institutions to separate security administration from day-to-day system and user functions in line with their own policies. Outside the application, Preservica maintains segregation of duties in its own operation of the service: source code changes require review and approval by a second person, development, test and production environments are separated, and production deployment is automated with production access restricted to authorised Operations staff. These controls are independently tested within Preservica's annual SOC 2 Type II audit.</v>
      </c>
      <c r="E175" s="326" t="str">
        <f>VLOOKUP($A175,Infrastructure!$A$13:$E$74,5,0)&amp;""</f>
        <v>Describe or provide a reference to the facilities available in the system to provide separation of duties between security administration and system administration functions.</v>
      </c>
      <c r="F175" s="191"/>
      <c r="G175" s="30" t="str">
        <f>VLOOKUP($A175,Questions!$A$2:$X$333,21,0)&amp;""</f>
        <v>Yes</v>
      </c>
      <c r="H175" s="181"/>
      <c r="I175" s="45" t="str">
        <f>VLOOKUP($A175,Questions!$A$2:$X$333,23,0)&amp;""</f>
        <v>Critical Importance</v>
      </c>
      <c r="J175" s="181"/>
      <c r="K175" s="48" t="b">
        <v>0</v>
      </c>
      <c r="L175" s="1"/>
    </row>
    <row r="176" spans="1:12" s="29" customFormat="1" ht="409.5" x14ac:dyDescent="0.25">
      <c r="A176" s="19" t="str">
        <f>Infrastructure!$A$25</f>
        <v>APPL-06</v>
      </c>
      <c r="B176" s="20" t="str">
        <f>VLOOKUP($A176,Infrastructure!$A$13:$E$74,2,0)&amp;""</f>
        <v>Do you subject your code to static code analysis and/or static application security testing prior to release?*</v>
      </c>
      <c r="C176" s="45" t="str">
        <f>VLOOKUP($A176,Infrastructure!$A$13:$E$74,3,0)&amp;""</f>
        <v>Yes</v>
      </c>
      <c r="D176" s="34" t="str">
        <f>IF(LEFT(VLOOKUP($A176,Infrastructure!$A$13:$E$74,5,0),21)='Auto Responses'!$A$32,'Auto Responses'!$A$33,VLOOKUP($A176,Infrastructure!$A$13:$E$74,4,0))&amp;""</f>
        <v>Static Application Security Testing (SAST) is integrated into developer IDEs and enforced at every pull request, covering the application source code and its third-party and open-source dependencies, and checking for vulnerabilities, licensing issues and hard-coded secrets. No source code change is accepted into the main branch without both a second-person review and a SAST review. Dynamic Application Security Testing is additionally applied as a release gate against every release candidate, infrastructure vulnerability scanning runs continuously, and an independent penetration test is performed at least annually by a CREST-certified third party. Specific tool names are not disclosed.</v>
      </c>
      <c r="E176" s="326" t="str">
        <f>VLOOKUP($A176,Infrastructure!$A$13:$E$74,5,0)&amp;""</f>
        <v>Provide a list of all tools utilized during static code analysis or static application security testing.</v>
      </c>
      <c r="F176" s="191"/>
      <c r="G176" s="30" t="str">
        <f>VLOOKUP($A176,Questions!$A$2:$X$333,21,0)&amp;""</f>
        <v>Yes</v>
      </c>
      <c r="H176" s="181"/>
      <c r="I176" s="45" t="str">
        <f>VLOOKUP($A176,Questions!$A$2:$X$333,23,0)&amp;""</f>
        <v>Critical Importance</v>
      </c>
      <c r="J176" s="181"/>
      <c r="K176" s="48" t="b">
        <v>0</v>
      </c>
      <c r="L176" s="1"/>
    </row>
    <row r="177" spans="1:12" s="29" customFormat="1" ht="409.5" x14ac:dyDescent="0.25">
      <c r="A177" s="19" t="str">
        <f>Infrastructure!$A$26</f>
        <v>APPL-07</v>
      </c>
      <c r="B177" s="20" t="str">
        <f>VLOOKUP($A177,Infrastructure!$A$13:$E$74,2,0)&amp;""</f>
        <v>Do you have software testing processes (dynamic or static) that are established and followed?*</v>
      </c>
      <c r="C177" s="45" t="str">
        <f>VLOOKUP($A177,Infrastructure!$A$13:$E$74,3,0)&amp;""</f>
        <v>Yes</v>
      </c>
      <c r="D177" s="34" t="str">
        <f>IF(LEFT(VLOOKUP($A177,Infrastructure!$A$13:$E$74,5,0),21)='Auto Responses'!$A$32,'Auto Responses'!$A$33,VLOOKUP($A177,Infrastructure!$A$13:$E$74,4,0))&amp;""</f>
        <v>Testing is governed by Preservica's documented Secure Development Policy and Change Management procedure. System designs are assessed against the OWASP Top 10 (2025) categories at the design phase and peer-reviewed at Technical Review meetings attended by engineering, DevOps and Operations personnel, senior engineers, and a representative from Information Security. During development, static application security testing runs in developer IDEs and on every pull request, and every source code change requires second-person review and approval before acceptance into the main branch. Before release, automated build and functional testing and Dynamic Application Security Testing are completed against every release candidate; Dynamic Application Security Testing acts as a release gate. Changes are documented in tickets with quality assurance prior to implementation and are approved by a Change Advisory Board chaired by the Operations Director as Change Manager. Customer production data is never used in test environments. These controls are independently tested within Preservica's annual SOC 2 Type II audit.</v>
      </c>
      <c r="E177" s="326" t="str">
        <f>VLOOKUP($A177,Infrastructure!$A$13:$E$74,5,0)&amp;""</f>
        <v>Describe testing processes, including but not limited to, development of test plans, personnel involved in the testing process, and authorized individual accountable for approval and certification of test results.</v>
      </c>
      <c r="F177" s="191"/>
      <c r="G177" s="30" t="str">
        <f>VLOOKUP($A177,Questions!$A$2:$X$333,21,0)&amp;""</f>
        <v>Yes</v>
      </c>
      <c r="H177" s="181"/>
      <c r="I177" s="45" t="str">
        <f>VLOOKUP($A177,Questions!$A$2:$X$333,23,0)&amp;""</f>
        <v>Critical Importance</v>
      </c>
      <c r="J177" s="181"/>
      <c r="K177" s="48" t="b">
        <v>0</v>
      </c>
      <c r="L177" s="1"/>
    </row>
    <row r="178" spans="1:12" s="29" customFormat="1" ht="409.5" x14ac:dyDescent="0.25">
      <c r="A178" s="19" t="str">
        <f>Infrastructure!$A$27</f>
        <v>APPL-08</v>
      </c>
      <c r="B178" s="20" t="str">
        <f>VLOOKUP($A178,Infrastructure!$A$13:$E$74,2,0)&amp;""</f>
        <v>Are access controls for staff within your organization based on structured rules, such as RBAC, ABAC, or PBAC?</v>
      </c>
      <c r="C178" s="45" t="str">
        <f>VLOOKUP($A178,Infrastructure!$A$13:$E$74,3,0)&amp;""</f>
        <v>Yes</v>
      </c>
      <c r="D178" s="34" t="str">
        <f>IF(LEFT(VLOOKUP($A178,Infrastructure!$A$13:$E$74,5,0),21)='Auto Responses'!$A$32,'Auto Responses'!$A$33,VLOOKUP($A178,Infrastructure!$A$13:$E$74,4,0))&amp;""</f>
        <v>Preservica's Access Control Policy applies to all internal networks, all IT systems (on-premise and cloud) and all authorised users, whether employees or external parties. Access rights are granted following the principles of least privilege and need-to-know, using role-based access control wherever possible. Privileged rights are restricted, recorded and not granted by default, and privileged accounts are kept separate from day-to-day user accounts. Remote access is via secure VPN protected by directory accounts with multi-factor authentication. Asset owners review access rights at least every six months, and on role change or termination, with reviews recorded. These controls fall within the scope of Preservica's ISO/IEC 27001:2022 certification and are independently tested within its annual SOC 2 Type II audit.</v>
      </c>
      <c r="E178" s="326" t="str">
        <f>VLOOKUP($A178,Infrastructure!$A$13:$E$74,5,0)&amp;""</f>
        <v>This includes system administrators and third-party personnel with access to the system. PBAC would include various dynamic controls such as conditional access, risk-based access, location-based access, or system activity–based access.</v>
      </c>
      <c r="F178" s="191"/>
      <c r="G178" s="30" t="str">
        <f>VLOOKUP($A178,Questions!$A$2:$X$333,21,0)&amp;""</f>
        <v>Yes</v>
      </c>
      <c r="H178" s="181"/>
      <c r="I178" s="45" t="str">
        <f>VLOOKUP($A178,Questions!$A$2:$X$333,23,0)&amp;""</f>
        <v>Standard Importance</v>
      </c>
      <c r="J178" s="181"/>
      <c r="K178" s="48" t="b">
        <v>0</v>
      </c>
      <c r="L178" s="1"/>
    </row>
    <row r="179" spans="1:12" s="29" customFormat="1" ht="409.5" x14ac:dyDescent="0.25">
      <c r="A179" s="19" t="str">
        <f>Infrastructure!$A$28</f>
        <v>APPL-09</v>
      </c>
      <c r="B179" s="20" t="str">
        <f>VLOOKUP($A179,Infrastructure!$A$13:$E$74,2,0)&amp;""</f>
        <v>Does the system provide data input validation and error messages?</v>
      </c>
      <c r="C179" s="45" t="str">
        <f>VLOOKUP($A179,Infrastructure!$A$13:$E$74,3,0)&amp;""</f>
        <v>Yes</v>
      </c>
      <c r="D179" s="34" t="str">
        <f>IF(LEFT(VLOOKUP($A179,Infrastructure!$A$13:$E$74,5,0),21)='Auto Responses'!$A$32,'Auto Responses'!$A$33,VLOOKUP($A179,Infrastructure!$A$13:$E$74,4,0))&amp;""</f>
        <v>Input validation is applied where appropriate and is addressed through Preservica's secure development controls: system designs are assessed against the OWASP Top 10 (2025) categories at the design phase, and engineers are required to ensure code is free of the current OWASP Top 10 web application security risks before it is deployed to production. Error handling is deliberately constrained — detailed error messages that could assist an attacker are disabled in production environments. Content ingested into the platform is additionally subject to integrity validation: at ingest the platform either generates a hash of each file or validates a customer-supplied hash, and a mismatch on a supplied hash fails the ingest at that point.</v>
      </c>
      <c r="E179" s="326" t="str">
        <f>VLOOKUP($A179,Infrastructure!$A$13:$E$74,5,0)&amp;""</f>
        <v>Describe how your system(s) provide data input validation and error messages.</v>
      </c>
      <c r="F179" s="191"/>
      <c r="G179" s="30" t="str">
        <f>VLOOKUP($A179,Questions!$A$2:$X$333,21,0)&amp;""</f>
        <v>Yes</v>
      </c>
      <c r="H179" s="181"/>
      <c r="I179" s="45" t="str">
        <f>VLOOKUP($A179,Questions!$A$2:$X$333,23,0)&amp;""</f>
        <v>Standard Importance</v>
      </c>
      <c r="J179" s="181"/>
      <c r="K179" s="48" t="b">
        <v>0</v>
      </c>
      <c r="L179" s="1"/>
    </row>
    <row r="180" spans="1:12" s="29" customFormat="1" ht="409.5" x14ac:dyDescent="0.25">
      <c r="A180" s="19" t="str">
        <f>Infrastructure!$A$29</f>
        <v>APPL-10</v>
      </c>
      <c r="B180" s="20" t="str">
        <f>VLOOKUP($A180,Infrastructure!$A$13:$E$74,2,0)&amp;""</f>
        <v>Do you have a process and implemented procedures for managing your software supply chain (e.g., libraries, repositories, frameworks, etc.)?</v>
      </c>
      <c r="C180" s="45" t="str">
        <f>VLOOKUP($A180,Infrastructure!$A$13:$E$74,3,0)&amp;""</f>
        <v>Yes</v>
      </c>
      <c r="D180" s="34" t="str">
        <f>IF(LEFT(VLOOKUP($A180,Infrastructure!$A$13:$E$74,5,0),21)='Auto Responses'!$A$32,'Auto Responses'!$A$33,VLOOKUP($A180,Infrastructure!$A$13:$E$74,4,0))&amp;""</f>
        <v>Software supply chain management is governed by Preservica's Secure Development Policy and a documented open-source licence procedure. All new use of third-party or open-source software — libraries, frameworks, tools, containers or other components — must be reviewed and approved before adoption into any product or build pipeline. Components using a licence classified as high risk must additionally be notified to Legal and the Chief Technology Officer before adoption. Use of such components in executor services and infrastructure components is documented in an authoritative register that is reviewed annually. Automated static analysis and dependency-analysis tooling monitors all application source code continuously for component vulnerabilities and associated licence risk, and every source code change is checked for vulnerabilities, licensing issues and secrets before it can be accepted into the main branch. Components are kept in line with vendor-supported versions wherever reasonably possible, with end-of-life components remediated under the Vulnerability and Patch Management Policy. These processes fall within the scope of Preservica's ISO/IEC 27001:2022 and ISO 9001:2015 certified management systems and are independently tested within its annual SOC 2 Type II audit. Certification documentation is available at https://preservica.com/trust-center.</v>
      </c>
      <c r="E180" s="326" t="str">
        <f>VLOOKUP($A180,Infrastructure!$A$13:$E$74,5,0)&amp;""</f>
        <v>Provide supporting documentation of your processes.</v>
      </c>
      <c r="F180" s="191"/>
      <c r="G180" s="30" t="str">
        <f>VLOOKUP($A180,Questions!$A$2:$X$333,21,0)&amp;""</f>
        <v>Yes</v>
      </c>
      <c r="H180" s="181"/>
      <c r="I180" s="45" t="str">
        <f>VLOOKUP($A180,Questions!$A$2:$X$333,23,0)&amp;""</f>
        <v>Standard Importance</v>
      </c>
      <c r="J180" s="181"/>
      <c r="K180" s="48" t="b">
        <v>0</v>
      </c>
      <c r="L180" s="1"/>
    </row>
    <row r="181" spans="1:12" s="29" customFormat="1" ht="409.5" x14ac:dyDescent="0.25">
      <c r="A181" s="19" t="str">
        <f>Infrastructure!$A$30</f>
        <v>APPL-11</v>
      </c>
      <c r="B181" s="20" t="str">
        <f>VLOOKUP($A181,Infrastructure!$A$13:$E$74,2,0)&amp;""</f>
        <v>Have your developers been trained in secure coding techniques?</v>
      </c>
      <c r="C181" s="45" t="str">
        <f>VLOOKUP($A181,Infrastructure!$A$13:$E$74,3,0)&amp;""</f>
        <v>Yes</v>
      </c>
      <c r="D181" s="34" t="str">
        <f>IF(LEFT(VLOOKUP($A181,Infrastructure!$A$13:$E$74,5,0),21)='Auto Responses'!$A$32,'Auto Responses'!$A$33,VLOOKUP($A181,Infrastructure!$A$13:$E$74,4,0))&amp;""</f>
        <v>Developers complete OWASP Top 10 security awareness training on hire, and again whenever an updated OWASP Top 10 is published. All relevant staff have completed training on the 2025 edition. Developers must also hold appropriate training, knowledge or experience in the languages they code in, verified at interview through methods such as coding tests and validation of formal certifications; developers cross-training into a new language work under mentorship with all code peer-reviewed through the standard pull request process. Separately, Preservica's Security Awareness Training Policy applies to all staff, temporary staff, consultants and third parties with access to Preservica or customer information, and privileged users and those with access to customer data receive additional role-specific training on their responsibilities and applicable compliance requirements.</v>
      </c>
      <c r="E181" s="326" t="str">
        <f>VLOOKUP($A181,Infrastructure!$A$13:$E$74,5,0)&amp;""</f>
        <v>Summarize your secure coding training.</v>
      </c>
      <c r="F181" s="191"/>
      <c r="G181" s="30" t="str">
        <f>VLOOKUP($A181,Questions!$A$2:$X$333,21,0)&amp;""</f>
        <v>Yes</v>
      </c>
      <c r="H181" s="181"/>
      <c r="I181" s="45" t="str">
        <f>VLOOKUP($A181,Questions!$A$2:$X$333,23,0)&amp;""</f>
        <v>Standard Importance</v>
      </c>
      <c r="J181" s="181"/>
      <c r="K181" s="48" t="b">
        <v>0</v>
      </c>
      <c r="L181" s="1"/>
    </row>
    <row r="182" spans="1:12" s="29" customFormat="1" ht="409.5" x14ac:dyDescent="0.25">
      <c r="A182" s="19" t="str">
        <f>Infrastructure!$A$31</f>
        <v>APPL-12</v>
      </c>
      <c r="B182" s="20" t="str">
        <f>VLOOKUP($A182,Infrastructure!$A$13:$E$74,2,0)&amp;""</f>
        <v>Was your application developed using secure coding techniques?</v>
      </c>
      <c r="C182" s="45" t="str">
        <f>VLOOKUP($A182,Infrastructure!$A$13:$E$74,3,0)&amp;""</f>
        <v>Yes</v>
      </c>
      <c r="D182" s="34" t="str">
        <f>IF(LEFT(VLOOKUP($A182,Infrastructure!$A$13:$E$74,5,0),21)='Auto Responses'!$A$32,'Auto Responses'!$A$33,VLOOKUP($A182,Infrastructure!$A$13:$E$74,4,0))&amp;""</f>
        <v>Preservica maintains a documented Secure Development Policy establishing mandatory secure coding standards and controls across the full development lifecycle — requirements specification, system design, development, testing and deployment — applying to all employees, contractors and sub-contractors performing development, testing or quality assurance on released products. The OWASP Top 10 (2025) is Preservica's secure development framework, supplemented by internal development standards and guidance, and system designs are assessed against the OWASP Top 10 (2025) categories during the design phase. Engineers are required to ensure code is free of the current OWASP Top 10 risks, to report any pre-existing vulnerable code they discover to Information Security, to disable detailed error messages that could support an attack vector, never to hard-code credentials in source code or configuration files in unencrypted form, and to run security plugins including static analysis within their development environment. Only reviewed and validated code is deployed into customer production environments.</v>
      </c>
      <c r="E182" s="326" t="str">
        <f>VLOOKUP($A182,Infrastructure!$A$13:$E$74,5,0)&amp;""</f>
        <v>Summarize your secure coding practices.</v>
      </c>
      <c r="F182" s="191"/>
      <c r="G182" s="30" t="str">
        <f>VLOOKUP($A182,Questions!$A$2:$X$333,21,0)&amp;""</f>
        <v>Yes</v>
      </c>
      <c r="H182" s="181"/>
      <c r="I182" s="45" t="str">
        <f>VLOOKUP($A182,Questions!$A$2:$X$333,23,0)&amp;""</f>
        <v>Standard Importance</v>
      </c>
      <c r="J182" s="181"/>
      <c r="K182" s="48" t="b">
        <v>0</v>
      </c>
      <c r="L182" s="1"/>
    </row>
    <row r="183" spans="1:12" s="29" customFormat="1" ht="105" x14ac:dyDescent="0.25">
      <c r="A183" s="19" t="str">
        <f>Infrastructure!$A$32</f>
        <v>APPL-13</v>
      </c>
      <c r="B183" s="20" t="str">
        <f>VLOOKUP($A183,Infrastructure!$A$13:$E$74,2,0)&amp;""</f>
        <v>If mobile, is the application available from a trusted source (e.g., App Store, Google Play Store)?</v>
      </c>
      <c r="C183" s="45" t="str">
        <f>VLOOKUP($A183,Infrastructure!$A$13:$E$74,3,0)&amp;""</f>
        <v>N/A</v>
      </c>
      <c r="D183" s="34" t="str">
        <f>IF(LEFT(VLOOKUP($A183,Infrastructure!$A$13:$E$74,5,0),21)='Auto Responses'!$A$32,'Auto Responses'!$A$33,VLOOKUP($A183,Infrastructure!$A$13:$E$74,4,0))&amp;""</f>
        <v>There is no mobile application version of Preservica; the service is delivered through the web browser. This question is therefore not applicable.</v>
      </c>
      <c r="E183" s="326" t="str">
        <f>VLOOKUP($A183,Infrastructure!$A$13:$E$74,5,0)&amp;""</f>
        <v>Please explain why this does not apply to your product or service.</v>
      </c>
      <c r="F183" s="191"/>
      <c r="G183" s="30" t="str">
        <f>VLOOKUP($A183,Questions!$A$2:$X$333,21,0)&amp;""</f>
        <v>Yes</v>
      </c>
      <c r="H183" s="181"/>
      <c r="I183" s="45" t="str">
        <f>VLOOKUP($A183,Questions!$A$2:$X$333,23,0)&amp;""</f>
        <v>Minor Importance</v>
      </c>
      <c r="J183" s="181"/>
      <c r="K183" s="48" t="b">
        <v>0</v>
      </c>
      <c r="L183" s="1"/>
    </row>
    <row r="184" spans="1:12" s="29" customFormat="1" ht="409.5" x14ac:dyDescent="0.25">
      <c r="A184" s="19" t="str">
        <f>Infrastructure!$A$33</f>
        <v>APPL-14</v>
      </c>
      <c r="B184" s="20" t="str">
        <f>VLOOKUP($A184,Infrastructure!$A$13:$E$74,2,0)&amp;""</f>
        <v>Do you have a fully implemented policy or procedure that details how your employees obtain administrator access to institutional instance of the application?</v>
      </c>
      <c r="C184" s="45" t="str">
        <f>VLOOKUP($A184,Infrastructure!$A$13:$E$74,3,0)&amp;""</f>
        <v>Yes</v>
      </c>
      <c r="D184" s="34" t="str">
        <f>IF(LEFT(VLOOKUP($A184,Infrastructure!$A$13:$E$74,5,0),21)='Auto Responses'!$A$32,'Auto Responses'!$A$33,VLOOKUP($A184,Infrastructure!$A$13:$E$74,4,0))&amp;""</f>
        <v>Preservica staff do not have routine or standing access to an institution's Preservica environment. Where access is needed for support, it occurs only in response to an institution-raised support ticket and only where the institution has explicitly approved that access on the ticket; access is provided through a support user created in the tenancy's own application directory, which is intentionally visible to the institution for transparency, is removed when the need ends, and can be revoked by the institution at any time. Long-standing professional services engagements may require ongoing access, which is granted by the institution at the start of the engagement, either in the tenancy's local directory or, where single sign-on is used, by the institution in its own Identity Provider. All access is least-privilege, logged, auditable and subject to management oversight; access rights are reviewed at least every six months and removed when the business need ceases. Internally, Preservica accounts are provisioned and de-provisioned through the IT helpdesk on request from HR or the user's line manager, with approval by the line manager or a member of the Leadership Team — self-approval is not permitted — and documented new starter and leaver procedures govern the joiner and leaver lifecycle, with access removed on termination. These controls fall within the scope of Preservica's ISO/IEC 27001:2022 certification and are described and independently tested within its annual SOC 2 Type II report.</v>
      </c>
      <c r="E184" s="326" t="str">
        <f>VLOOKUP($A184,Infrastructure!$A$13:$E$74,5,0)&amp;""</f>
        <v>Describe or provide a reference that details how administrator access is handled (e.g., provisioning, principle of least privilege, deprovisioning, etc.).</v>
      </c>
      <c r="F184" s="191"/>
      <c r="G184" s="30" t="str">
        <f>VLOOKUP($A184,Questions!$A$2:$X$333,21,0)&amp;""</f>
        <v>Yes</v>
      </c>
      <c r="H184" s="181"/>
      <c r="I184" s="45" t="str">
        <f>VLOOKUP($A184,Questions!$A$2:$X$333,23,0)&amp;""</f>
        <v>Minor Importance</v>
      </c>
      <c r="J184" s="181"/>
      <c r="K184" s="48" t="b">
        <v>0</v>
      </c>
      <c r="L184" s="1"/>
    </row>
    <row r="185" spans="1:12" s="1" customFormat="1" ht="17.5" x14ac:dyDescent="0.25">
      <c r="A185" s="63" t="str">
        <f>VLOOKUP(LEFT($A186,4),'Auto Responses'!$N$4:$O$38,2,0)&amp;""</f>
        <v xml:space="preserve"> Datacenter</v>
      </c>
      <c r="B185" s="22"/>
      <c r="C185" s="31"/>
      <c r="D185" s="31"/>
      <c r="E185" s="327"/>
      <c r="F185" s="128" t="s">
        <v>632</v>
      </c>
      <c r="G185" s="331" t="s">
        <v>627</v>
      </c>
      <c r="H185" s="331" t="s">
        <v>628</v>
      </c>
      <c r="I185" s="331" t="s">
        <v>629</v>
      </c>
      <c r="J185" s="331" t="s">
        <v>630</v>
      </c>
      <c r="K185" s="331" t="s">
        <v>631</v>
      </c>
    </row>
    <row r="186" spans="1:12" s="29" customFormat="1" ht="409.5" x14ac:dyDescent="0.25">
      <c r="A186" s="19" t="str">
        <f>Infrastructure!$A$35</f>
        <v>DCTR-01</v>
      </c>
      <c r="B186" s="20" t="str">
        <f>VLOOKUP($A186,Infrastructure!$A$13:$E$74,2,0)&amp;""</f>
        <v>Select your hosting option.</v>
      </c>
      <c r="C186" s="45" t="str">
        <f>VLOOKUP($A186,Infrastructure!$A$13:$E$74,3,0)&amp;""</f>
        <v>Azure</v>
      </c>
      <c r="D186" s="34" t="str">
        <f>IF(LEFT(VLOOKUP($A186,Infrastructure!$A$13:$E$74,5,0),21)='Auto Responses'!$A$32,'Auto Responses'!$A$33,VLOOKUP($A186,Infrastructure!$A$13:$E$74,4,0))&amp;""</f>
        <v>Preservica is hosted on third-party cloud infrastructure provided by Microsoft Azure or Amazon Web Services, as specified in the Data Residency section of the customer's Order Form. Cloudflare is used for Professional edition environments and above. Preservica does not operate its own data centres; physical security and facility operation of the underlying data centres are the responsibility of the infrastructure provider under their own independently audited certifications. The division of responsibility is set out in Preservica's Shared Responsibility Model: https://website-assets.preservica.com/production/resources/Shared-Responsibility-Model-Global-v1.1.pdf</v>
      </c>
      <c r="E186" s="326" t="str">
        <f>VLOOKUP($A186,Infrastructure!$A$13:$E$74,5,0)&amp;""</f>
        <v/>
      </c>
      <c r="F186" s="191"/>
      <c r="G186" s="30" t="str">
        <f>VLOOKUP($A186,Questions!$A$2:$X$333,21,0)&amp;""</f>
        <v>Not scored</v>
      </c>
      <c r="H186" s="181"/>
      <c r="I186" s="45" t="str">
        <f>VLOOKUP($A186,Questions!$A$2:$X$333,23,0)&amp;""</f>
        <v/>
      </c>
      <c r="J186" s="181"/>
      <c r="K186" s="48" t="b">
        <v>0</v>
      </c>
      <c r="L186" s="1"/>
    </row>
    <row r="187" spans="1:12" s="29" customFormat="1" ht="75" x14ac:dyDescent="0.25">
      <c r="A187" s="19" t="str">
        <f>Infrastructure!$A$36</f>
        <v>DCTR-02</v>
      </c>
      <c r="B187" s="20" t="str">
        <f>VLOOKUP($A187,Infrastructure!$A$13:$E$74,2,0)&amp;""</f>
        <v>Is a SOC 2 Type 2 report available for the hosting environment?</v>
      </c>
      <c r="C187" s="45" t="str">
        <f>VLOOKUP($A187,Infrastructure!$A$13:$E$74,3,0)&amp;""</f>
        <v/>
      </c>
      <c r="D187" s="34" t="str">
        <f>IF(LEFT(VLOOKUP($A187,Infrastructure!$A$13:$E$74,5,0),21)='Auto Responses'!$A$32,'Auto Responses'!$A$33,VLOOKUP($A187,Infrastructure!$A$13:$E$74,4,0))&amp;""</f>
        <v>This question does not apply.</v>
      </c>
      <c r="E187" s="326" t="str">
        <f>VLOOKUP($A187,Infrastructure!$A$13:$E$74,5,0)&amp;""</f>
        <v>Based on the response to DCTR-01, this question does not apply to this product or service.</v>
      </c>
      <c r="F187" s="191"/>
      <c r="G187" s="30" t="str">
        <f>VLOOKUP($A187,Questions!$A$2:$X$333,21,0)&amp;""</f>
        <v>Yes</v>
      </c>
      <c r="H187" s="181"/>
      <c r="I187" s="45" t="str">
        <f>VLOOKUP($A187,Questions!$A$2:$X$333,23,0)&amp;""</f>
        <v>Standard Importance</v>
      </c>
      <c r="J187" s="181"/>
      <c r="K187" s="48" t="b">
        <v>0</v>
      </c>
      <c r="L187" s="1"/>
    </row>
    <row r="188" spans="1:12" s="29" customFormat="1" ht="409.5" x14ac:dyDescent="0.25">
      <c r="A188" s="19" t="str">
        <f>Infrastructure!$A$37</f>
        <v>DCTR-03</v>
      </c>
      <c r="B188" s="20" t="str">
        <f>VLOOKUP($A188,Infrastructure!$A$13:$E$74,2,0)&amp;""</f>
        <v>Are you generally able to accommodate storing each institution's data within its geographic region?</v>
      </c>
      <c r="C188" s="45" t="str">
        <f>VLOOKUP($A188,Infrastructure!$A$13:$E$74,3,0)&amp;""</f>
        <v>Yes</v>
      </c>
      <c r="D188" s="34" t="str">
        <f>IF(LEFT(VLOOKUP($A188,Infrastructure!$A$13:$E$74,5,0),21)='Auto Responses'!$A$32,'Auto Responses'!$A$33,VLOOKUP($A188,Infrastructure!$A$13:$E$74,4,0))&amp;""</f>
        <v>Customer data is stored and processed only within the geographic region specified in the Data Residency section of the customer's Order Form. This is a contractual and enforceable commitment: data is not moved, replicated or processed outside that region except where explicitly instructed by the customer or where required by applicable law. Sub-processors are approved and used in a region-dependent manner consistent with the customer's contracted data residency requirements. Preservica operates in multiple regions and territories; the regions available for a given deployment are confirmed as part of the contracting process.</v>
      </c>
      <c r="E188" s="326" t="str">
        <f>VLOOKUP($A188,Infrastructure!$A$13:$E$74,5,0)&amp;""</f>
        <v>Please indicate which geographic regions you can provide storage in the Additional Info column.</v>
      </c>
      <c r="F188" s="191"/>
      <c r="G188" s="30" t="str">
        <f>VLOOKUP($A188,Questions!$A$2:$X$333,21,0)&amp;""</f>
        <v>Yes</v>
      </c>
      <c r="H188" s="181"/>
      <c r="I188" s="45" t="str">
        <f>VLOOKUP($A188,Questions!$A$2:$X$333,23,0)&amp;""</f>
        <v>Standard Importance</v>
      </c>
      <c r="J188" s="181"/>
      <c r="K188" s="48" t="b">
        <v>0</v>
      </c>
      <c r="L188" s="1"/>
    </row>
    <row r="189" spans="1:12" s="29" customFormat="1" ht="75" x14ac:dyDescent="0.25">
      <c r="A189" s="19" t="str">
        <f>Infrastructure!$A$38</f>
        <v>DCTR-04</v>
      </c>
      <c r="B189" s="20" t="str">
        <f>VLOOKUP($A189,Infrastructure!$A$13:$E$74,2,0)&amp;""</f>
        <v>Are the data centers staffed 24 hours a day, seven days a week (i.e., 24 x 7 x 365)?</v>
      </c>
      <c r="C189" s="45" t="str">
        <f>VLOOKUP($A189,Infrastructure!$A$13:$E$74,3,0)&amp;""</f>
        <v/>
      </c>
      <c r="D189" s="34" t="str">
        <f>IF(LEFT(VLOOKUP($A189,Infrastructure!$A$13:$E$74,5,0),21)='Auto Responses'!$A$32,'Auto Responses'!$A$33,VLOOKUP($A189,Infrastructure!$A$13:$E$74,4,0))&amp;""</f>
        <v>This question does not apply.</v>
      </c>
      <c r="E189" s="326" t="str">
        <f>VLOOKUP($A189,Infrastructure!$A$13:$E$74,5,0)&amp;""</f>
        <v>Based on the response to DCTR-01, this question does not apply to this product or service.</v>
      </c>
      <c r="F189" s="191"/>
      <c r="G189" s="30" t="str">
        <f>VLOOKUP($A189,Questions!$A$2:$X$333,21,0)&amp;""</f>
        <v>Yes</v>
      </c>
      <c r="H189" s="181"/>
      <c r="I189" s="45" t="str">
        <f>VLOOKUP($A189,Questions!$A$2:$X$333,23,0)&amp;""</f>
        <v>Standard Importance</v>
      </c>
      <c r="J189" s="181"/>
      <c r="K189" s="48" t="b">
        <v>0</v>
      </c>
      <c r="L189" s="1"/>
    </row>
    <row r="190" spans="1:12" s="29" customFormat="1" ht="75" x14ac:dyDescent="0.25">
      <c r="A190" s="19" t="str">
        <f>Infrastructure!$A$39</f>
        <v>DCTR-05</v>
      </c>
      <c r="B190" s="20" t="str">
        <f>VLOOKUP($A190,Infrastructure!$A$13:$E$74,2,0)&amp;""</f>
        <v>Are your servers separated from other companies via a physical barrier, such as a cage or hard walls?</v>
      </c>
      <c r="C190" s="45" t="str">
        <f>VLOOKUP($A190,Infrastructure!$A$13:$E$74,3,0)&amp;""</f>
        <v/>
      </c>
      <c r="D190" s="34" t="str">
        <f>IF(LEFT(VLOOKUP($A190,Infrastructure!$A$13:$E$74,5,0),21)='Auto Responses'!$A$32,'Auto Responses'!$A$33,VLOOKUP($A190,Infrastructure!$A$13:$E$74,4,0))&amp;""</f>
        <v>This question does not apply.</v>
      </c>
      <c r="E190" s="326" t="str">
        <f>VLOOKUP($A190,Infrastructure!$A$13:$E$74,5,0)&amp;""</f>
        <v>Based on the response to DCTR-01, this question does not apply to this product or service.</v>
      </c>
      <c r="F190" s="191"/>
      <c r="G190" s="30" t="str">
        <f>VLOOKUP($A190,Questions!$A$2:$X$333,21,0)&amp;""</f>
        <v>Yes</v>
      </c>
      <c r="H190" s="181"/>
      <c r="I190" s="45" t="str">
        <f>VLOOKUP($A190,Questions!$A$2:$X$333,23,0)&amp;""</f>
        <v>Standard Importance</v>
      </c>
      <c r="J190" s="181"/>
      <c r="K190" s="48" t="b">
        <v>0</v>
      </c>
      <c r="L190" s="1"/>
    </row>
    <row r="191" spans="1:12" s="29" customFormat="1" ht="75" x14ac:dyDescent="0.25">
      <c r="A191" s="19" t="str">
        <f>Infrastructure!$A$40</f>
        <v>DCTR-06</v>
      </c>
      <c r="B191" s="20" t="str">
        <f>VLOOKUP($A191,Infrastructure!$A$13:$E$74,2,0)&amp;""</f>
        <v>Does a physical barrier fully enclose the physical space, preventing unauthorized physical contact with any of your devices?*</v>
      </c>
      <c r="C191" s="45" t="str">
        <f>VLOOKUP($A191,Infrastructure!$A$13:$E$74,3,0)&amp;""</f>
        <v/>
      </c>
      <c r="D191" s="34" t="str">
        <f>IF(LEFT(VLOOKUP($A191,Infrastructure!$A$13:$E$74,5,0),21)='Auto Responses'!$A$32,'Auto Responses'!$A$33,VLOOKUP($A191,Infrastructure!$A$13:$E$74,4,0))&amp;""</f>
        <v>This question does not apply.</v>
      </c>
      <c r="E191" s="326" t="str">
        <f>VLOOKUP($A191,Infrastructure!$A$13:$E$74,5,0)&amp;""</f>
        <v>Based on the response to DCTR-01, this question does not apply to this product or service.</v>
      </c>
      <c r="F191" s="191"/>
      <c r="G191" s="30" t="str">
        <f>VLOOKUP($A191,Questions!$A$2:$X$333,21,0)&amp;""</f>
        <v>Yes</v>
      </c>
      <c r="H191" s="181"/>
      <c r="I191" s="45" t="str">
        <f>VLOOKUP($A191,Questions!$A$2:$X$333,23,0)&amp;""</f>
        <v>Critical Importance</v>
      </c>
      <c r="J191" s="181"/>
      <c r="K191" s="48" t="b">
        <v>0</v>
      </c>
      <c r="L191" s="1"/>
    </row>
    <row r="192" spans="1:12" s="29" customFormat="1" ht="409.5" x14ac:dyDescent="0.25">
      <c r="A192" s="19" t="str">
        <f>Infrastructure!$A$41</f>
        <v>DCTR-07</v>
      </c>
      <c r="B192" s="20" t="str">
        <f>VLOOKUP($A192,Infrastructure!$A$13:$E$74,2,0)&amp;""</f>
        <v>Are your primary and secondary data centers geographically diverse?</v>
      </c>
      <c r="C192" s="45" t="str">
        <f>VLOOKUP($A192,Infrastructure!$A$13:$E$74,3,0)&amp;""</f>
        <v>No</v>
      </c>
      <c r="D192" s="34" t="str">
        <f>IF(LEFT(VLOOKUP($A192,Infrastructure!$A$13:$E$74,5,0),21)='Auto Responses'!$A$32,'Auto Responses'!$A$33,VLOOKUP($A192,Infrastructure!$A$13:$E$74,4,0))&amp;""</f>
        <v>Preservica does not operate paired primary and secondary data centres. As a digital preservation platform, the service is not architected to a traditional high-availability pattern: Preservica does not provide active/active or active/passive geographic or local resilience configurations, and customers receive a single application server environment. Resilience is provided instead by the durability of the underlying cloud storage layer and by Preservica's recovery commitments — a Recovery Time Objective of 4 hours and a Recovery Point Objective of 24 hours — which are tested at least semi-annually, with control effectiveness independently audited within Preservica's annual SOC 2 Type II report. Recovery measures are deliberately designed so that customer data remains within the contracted residency region, with no cross-region movement outside agreed jurisdictional boundaries. The application availability commitment is 99.5%, measured monthly.</v>
      </c>
      <c r="E192" s="326" t="str">
        <f>VLOOKUP($A192,Infrastructure!$A$13:$E$74,5,0)&amp;""</f>
        <v>Describe any plans to implement.</v>
      </c>
      <c r="F192" s="191"/>
      <c r="G192" s="30" t="str">
        <f>VLOOKUP($A192,Questions!$A$2:$X$333,21,0)&amp;""</f>
        <v>Yes</v>
      </c>
      <c r="H192" s="181"/>
      <c r="I192" s="45" t="str">
        <f>VLOOKUP($A192,Questions!$A$2:$X$333,23,0)&amp;""</f>
        <v>Standard Importance</v>
      </c>
      <c r="J192" s="181"/>
      <c r="K192" s="48" t="b">
        <v>0</v>
      </c>
      <c r="L192" s="1"/>
    </row>
    <row r="193" spans="1:12" s="29" customFormat="1" ht="409.5" x14ac:dyDescent="0.25">
      <c r="A193" s="19" t="str">
        <f>Infrastructure!$A$42</f>
        <v>DCTR-08</v>
      </c>
      <c r="B193" s="20" t="str">
        <f>VLOOKUP($A193,Infrastructure!$A$13:$E$74,2,0)&amp;""</f>
        <v>Is the service hosted in a high-availability environment?</v>
      </c>
      <c r="C193" s="45" t="str">
        <f>VLOOKUP($A193,Infrastructure!$A$13:$E$74,3,0)&amp;""</f>
        <v>No</v>
      </c>
      <c r="D193" s="34" t="str">
        <f>IF(LEFT(VLOOKUP($A193,Infrastructure!$A$13:$E$74,5,0),21)='Auto Responses'!$A$32,'Auto Responses'!$A$33,VLOOKUP($A193,Infrastructure!$A$13:$E$74,4,0))&amp;""</f>
        <v>Preservica provides an Application Availability commitment of 99.5%, measured monthly and excluding planned maintenance and other agreed exclusions. As a digital preservation platform, the service is generally not treated by customers as a business-critical or essential system, and it is therefore not architected to a traditional high-availability pattern: Preservica does not provide active/active or active/passive geographic or local resilience configurations, and customers receive a single application server environment. This keeps the service cost-effective given its archival nature. Confidentiality and integrity of stored data remain the priority. Preservica's Recovery Time Objective is 4 hours and its Recovery Point Objective is 24 hours; these are tested at least semi-annually and their control effectiveness is independently audited within Preservica's annual SOC 2 Type II report. The Business Continuity Plan is tested at least annually. Data integrity is additionally assured by the platform's fixity checking, which periodically re-computes the hash of every stored file against the value on record and alerts on any discrepancy.</v>
      </c>
      <c r="E193" s="326" t="str">
        <f>VLOOKUP($A193,Infrastructure!$A$13:$E$74,5,0)&amp;""</f>
        <v>Describe any plans to implement a high-availability environment for your systems.</v>
      </c>
      <c r="F193" s="191"/>
      <c r="G193" s="30" t="str">
        <f>VLOOKUP($A193,Questions!$A$2:$X$333,21,0)&amp;""</f>
        <v>Yes</v>
      </c>
      <c r="H193" s="181"/>
      <c r="I193" s="45" t="str">
        <f>VLOOKUP($A193,Questions!$A$2:$X$333,23,0)&amp;""</f>
        <v>Standard Importance</v>
      </c>
      <c r="J193" s="181"/>
      <c r="K193" s="48" t="b">
        <v>0</v>
      </c>
      <c r="L193" s="1"/>
    </row>
    <row r="194" spans="1:12" s="29" customFormat="1" ht="75" x14ac:dyDescent="0.25">
      <c r="A194" s="19" t="str">
        <f>Infrastructure!$A$43</f>
        <v>DCTR-09</v>
      </c>
      <c r="B194" s="20" t="str">
        <f>VLOOKUP($A194,Infrastructure!$A$13:$E$74,2,0)&amp;""</f>
        <v>Is redundant power available for all data centers where institutional data will reside?</v>
      </c>
      <c r="C194" s="45" t="str">
        <f>VLOOKUP($A194,Infrastructure!$A$13:$E$74,3,0)&amp;""</f>
        <v/>
      </c>
      <c r="D194" s="34" t="str">
        <f>IF(LEFT(VLOOKUP($A194,Infrastructure!$A$13:$E$74,5,0),21)='Auto Responses'!$A$32,'Auto Responses'!$A$33,VLOOKUP($A194,Infrastructure!$A$13:$E$74,4,0))&amp;""</f>
        <v>This question does not apply.</v>
      </c>
      <c r="E194" s="326" t="str">
        <f>VLOOKUP($A194,Infrastructure!$A$13:$E$74,5,0)&amp;""</f>
        <v>Based on the response to DCTR-01, this question does not apply to this product or service.</v>
      </c>
      <c r="F194" s="191"/>
      <c r="G194" s="30" t="str">
        <f>VLOOKUP($A194,Questions!$A$2:$X$333,21,0)&amp;""</f>
        <v>Yes</v>
      </c>
      <c r="H194" s="181"/>
      <c r="I194" s="45" t="str">
        <f>VLOOKUP($A194,Questions!$A$2:$X$333,23,0)&amp;""</f>
        <v>Standard Importance</v>
      </c>
      <c r="J194" s="181"/>
      <c r="K194" s="48" t="b">
        <v>0</v>
      </c>
      <c r="L194" s="1"/>
    </row>
    <row r="195" spans="1:12" s="29" customFormat="1" ht="75" x14ac:dyDescent="0.25">
      <c r="A195" s="19" t="str">
        <f>Infrastructure!$A$44</f>
        <v>DCTR-10</v>
      </c>
      <c r="B195" s="20" t="str">
        <f>VLOOKUP($A195,Infrastructure!$A$13:$E$74,2,0)&amp;""</f>
        <v>Are redundant power strategies tested?*</v>
      </c>
      <c r="C195" s="45" t="str">
        <f>VLOOKUP($A195,Infrastructure!$A$13:$E$74,3,0)&amp;""</f>
        <v/>
      </c>
      <c r="D195" s="34" t="str">
        <f>IF(LEFT(VLOOKUP($A195,Infrastructure!$A$13:$E$74,5,0),21)='Auto Responses'!$A$32,'Auto Responses'!$A$33,VLOOKUP($A195,Infrastructure!$A$13:$E$74,4,0))&amp;""</f>
        <v>This question does not apply.</v>
      </c>
      <c r="E195" s="326" t="str">
        <f>VLOOKUP($A195,Infrastructure!$A$13:$E$74,5,0)&amp;""</f>
        <v>Based on the response to DCTR-01, this question does not apply to this product or service.</v>
      </c>
      <c r="F195" s="191"/>
      <c r="G195" s="30" t="str">
        <f>VLOOKUP($A195,Questions!$A$2:$X$333,21,0)&amp;""</f>
        <v>Yes</v>
      </c>
      <c r="H195" s="181"/>
      <c r="I195" s="45" t="str">
        <f>VLOOKUP($A195,Questions!$A$2:$X$333,23,0)&amp;""</f>
        <v>Critical Importance</v>
      </c>
      <c r="J195" s="181"/>
      <c r="K195" s="48" t="b">
        <v>0</v>
      </c>
      <c r="L195" s="1"/>
    </row>
    <row r="196" spans="1:12" s="29" customFormat="1" ht="75" x14ac:dyDescent="0.25">
      <c r="A196" s="19" t="str">
        <f>Infrastructure!$A$45</f>
        <v>DCTR-11</v>
      </c>
      <c r="B196" s="20" t="str">
        <f>VLOOKUP($A196,Infrastructure!$A$13:$E$74,2,0)&amp;""</f>
        <v>Does the center where the data will reside have cooling and fire-suppression systems that are active and regularly tested?</v>
      </c>
      <c r="C196" s="45" t="str">
        <f>VLOOKUP($A196,Infrastructure!$A$13:$E$74,3,0)&amp;""</f>
        <v/>
      </c>
      <c r="D196" s="34" t="str">
        <f>IF(LEFT(VLOOKUP($A196,Infrastructure!$A$13:$E$74,5,0),21)='Auto Responses'!$A$32,'Auto Responses'!$A$33,VLOOKUP($A196,Infrastructure!$A$13:$E$74,4,0))&amp;""</f>
        <v>This question does not apply.</v>
      </c>
      <c r="E196" s="326" t="str">
        <f>VLOOKUP($A196,Infrastructure!$A$13:$E$74,5,0)&amp;""</f>
        <v>Based on the response to DCTR-01, this question does not apply to this product or service.</v>
      </c>
      <c r="F196" s="191"/>
      <c r="G196" s="30" t="str">
        <f>VLOOKUP($A196,Questions!$A$2:$X$333,21,0)&amp;""</f>
        <v>Yes</v>
      </c>
      <c r="H196" s="181"/>
      <c r="I196" s="45" t="str">
        <f>VLOOKUP($A196,Questions!$A$2:$X$333,23,0)&amp;""</f>
        <v>Standard Importance</v>
      </c>
      <c r="J196" s="181"/>
      <c r="K196" s="48" t="b">
        <v>0</v>
      </c>
      <c r="L196" s="1"/>
    </row>
    <row r="197" spans="1:12" s="29" customFormat="1" ht="75" x14ac:dyDescent="0.25">
      <c r="A197" s="19" t="str">
        <f>Infrastructure!$A$46</f>
        <v>DCTR-12</v>
      </c>
      <c r="B197" s="20" t="str">
        <f>VLOOKUP($A197,Infrastructure!$A$13:$E$74,2,0)&amp;""</f>
        <v>Do you have Internet Service Provider (ISP) redundancy?</v>
      </c>
      <c r="C197" s="45" t="str">
        <f>VLOOKUP($A197,Infrastructure!$A$13:$E$74,3,0)&amp;""</f>
        <v/>
      </c>
      <c r="D197" s="34" t="str">
        <f>IF(LEFT(VLOOKUP($A197,Infrastructure!$A$13:$E$74,5,0),21)='Auto Responses'!$A$32,'Auto Responses'!$A$33,VLOOKUP($A197,Infrastructure!$A$13:$E$74,4,0))&amp;""</f>
        <v>This question does not apply.</v>
      </c>
      <c r="E197" s="326" t="str">
        <f>VLOOKUP($A197,Infrastructure!$A$13:$E$74,5,0)&amp;""</f>
        <v>Based on the response to DCTR-01, this question does not apply to this product or service.</v>
      </c>
      <c r="F197" s="191"/>
      <c r="G197" s="30" t="str">
        <f>VLOOKUP($A197,Questions!$A$2:$X$333,21,0)&amp;""</f>
        <v>Yes</v>
      </c>
      <c r="H197" s="181"/>
      <c r="I197" s="45" t="str">
        <f>VLOOKUP($A197,Questions!$A$2:$X$333,23,0)&amp;""</f>
        <v>Standard Importance</v>
      </c>
      <c r="J197" s="181"/>
      <c r="K197" s="48" t="b">
        <v>0</v>
      </c>
      <c r="L197" s="1"/>
    </row>
    <row r="198" spans="1:12" s="29" customFormat="1" ht="75" x14ac:dyDescent="0.25">
      <c r="A198" s="19" t="str">
        <f>Infrastructure!$A$47</f>
        <v>DCTR-13</v>
      </c>
      <c r="B198" s="20" t="str">
        <f>VLOOKUP($A198,Infrastructure!$A$13:$E$74,2,0)&amp;""</f>
        <v>Does every data center where the institution's data will reside have multiple telephone company or network provider entrances to the facility?</v>
      </c>
      <c r="C198" s="45" t="str">
        <f>VLOOKUP($A198,Infrastructure!$A$13:$E$74,3,0)&amp;""</f>
        <v/>
      </c>
      <c r="D198" s="34" t="str">
        <f>IF(LEFT(VLOOKUP($A198,Infrastructure!$A$13:$E$74,5,0),21)='Auto Responses'!$A$32,'Auto Responses'!$A$33,VLOOKUP($A198,Infrastructure!$A$13:$E$74,4,0))&amp;""</f>
        <v>This question does not apply.</v>
      </c>
      <c r="E198" s="326" t="str">
        <f>VLOOKUP($A198,Infrastructure!$A$13:$E$74,5,0)&amp;""</f>
        <v>Based on the response to DCTR-01, this question does not apply to this product or service.</v>
      </c>
      <c r="F198" s="191"/>
      <c r="G198" s="30" t="str">
        <f>VLOOKUP($A198,Questions!$A$2:$X$333,21,0)&amp;""</f>
        <v>Yes</v>
      </c>
      <c r="H198" s="181"/>
      <c r="I198" s="45" t="str">
        <f>VLOOKUP($A198,Questions!$A$2:$X$333,23,0)&amp;""</f>
        <v>Standard Importance</v>
      </c>
      <c r="J198" s="181"/>
      <c r="K198" s="48" t="b">
        <v>0</v>
      </c>
      <c r="L198" s="1"/>
    </row>
    <row r="199" spans="1:12" s="29" customFormat="1" ht="409.5" x14ac:dyDescent="0.25">
      <c r="A199" s="19" t="str">
        <f>Infrastructure!$A$48</f>
        <v>DCTR-14</v>
      </c>
      <c r="B199" s="20" t="str">
        <f>VLOOKUP($A199,Infrastructure!$A$13:$E$74,2,0)&amp;""</f>
        <v>Do you require multifactor authentication for all administrative accounts in your environment?</v>
      </c>
      <c r="C199" s="45" t="str">
        <f>VLOOKUP($A199,Infrastructure!$A$13:$E$74,3,0)&amp;""</f>
        <v>Yes</v>
      </c>
      <c r="D199" s="34" t="str">
        <f>IF(LEFT(VLOOKUP($A199,Infrastructure!$A$13:$E$74,5,0),21)='Auto Responses'!$A$32,'Auto Responses'!$A$33,VLOOKUP($A199,Infrastructure!$A$13:$E$74,4,0))&amp;""</f>
        <v>Multi-factor authentication is enforced for Preservica staff access, including all administrative accounts. Supported methods, in order of preference, are FIDO2 security keys, authenticator application push approval, and one-time-password authenticator applications. Privileged accounts must be separate from the user's day-to-day account, privileged rights are restricted, recorded and not granted by default, and remote access is via secure VPN protected by directory accounts that themselves require multi-factor authentication. Password requirements meet defined length and complexity standards, with a longer minimum length mandated for privileged accounts, and a company-approved password manager is mandated for all users and must itself be protected by multi-factor authentication. These controls fall within the scope of Preservica's ISO/IEC 27001:2022 certification and are independently tested within its annual SOC 2 Type II audit.</v>
      </c>
      <c r="E199" s="326" t="str">
        <f>VLOOKUP($A199,Infrastructure!$A$13:$E$74,5,0)&amp;""</f>
        <v>State which model of MFA you are using.</v>
      </c>
      <c r="F199" s="191"/>
      <c r="G199" s="30" t="str">
        <f>VLOOKUP($A199,Questions!$A$2:$X$333,21,0)&amp;""</f>
        <v>Yes</v>
      </c>
      <c r="H199" s="181"/>
      <c r="I199" s="45" t="str">
        <f>VLOOKUP($A199,Questions!$A$2:$X$333,23,0)&amp;""</f>
        <v>Standard Importance</v>
      </c>
      <c r="J199" s="181"/>
      <c r="K199" s="48" t="b">
        <v>0</v>
      </c>
      <c r="L199" s="1"/>
    </row>
    <row r="200" spans="1:12" s="29" customFormat="1" ht="409.5" x14ac:dyDescent="0.25">
      <c r="A200" s="19" t="str">
        <f>Infrastructure!$A$49</f>
        <v>DCTR-15</v>
      </c>
      <c r="B200" s="20" t="str">
        <f>VLOOKUP($A200,Infrastructure!$A$13:$E$74,2,0)&amp;""</f>
        <v>Are you using your cloud provider's available hardening tools or pre-hardened images?</v>
      </c>
      <c r="C200" s="45" t="str">
        <f>VLOOKUP($A200,Infrastructure!$A$13:$E$74,3,0)&amp;""</f>
        <v>No</v>
      </c>
      <c r="D200" s="34" t="str">
        <f>IF(LEFT(VLOOKUP($A200,Infrastructure!$A$13:$E$74,5,0),21)='Auto Responses'!$A$32,'Auto Responses'!$A$33,VLOOKUP($A200,Infrastructure!$A$13:$E$74,4,0))&amp;""</f>
        <v>Preservica builds and maintains its own hardened machine images based on CIS Benchmarks, rather than relying on the cloud provider's pre-hardened images. Images and all infrastructure components deployed into production — compute resources, databases, storage containers and network objects — are built, provisioned and managed using Infrastructure as Code, and application deployment to production is automated, so that hardening is applied consistently across every environment and the risk of human error or configuration drift is reduced. System hardening and deployment procedures are documented within Preservica's ISO/IEC 27001:2022 certified management system.</v>
      </c>
      <c r="E200" s="326" t="str">
        <f>VLOOKUP($A200,Infrastructure!$A$13:$E$74,5,0)&amp;""</f>
        <v>Describe how you alternately harden your images.</v>
      </c>
      <c r="F200" s="191"/>
      <c r="G200" s="30" t="str">
        <f>VLOOKUP($A200,Questions!$A$2:$X$333,21,0)&amp;""</f>
        <v>Yes</v>
      </c>
      <c r="H200" s="181"/>
      <c r="I200" s="45" t="str">
        <f>VLOOKUP($A200,Questions!$A$2:$X$333,23,0)&amp;""</f>
        <v>Standard Importance</v>
      </c>
      <c r="J200" s="181"/>
      <c r="K200" s="48" t="b">
        <v>0</v>
      </c>
      <c r="L200" s="1"/>
    </row>
    <row r="201" spans="1:12" s="29" customFormat="1" ht="409.5" x14ac:dyDescent="0.25">
      <c r="A201" s="19" t="str">
        <f>Infrastructure!$A$50</f>
        <v>DCTR-16</v>
      </c>
      <c r="B201" s="20" t="str">
        <f>VLOOKUP($A201,Infrastructure!$A$13:$E$74,2,0)&amp;""</f>
        <v>Does your cloud solution provider have access to your encryption keys?</v>
      </c>
      <c r="C201" s="45" t="str">
        <f>VLOOKUP($A201,Infrastructure!$A$13:$E$74,3,0)&amp;""</f>
        <v>Yes</v>
      </c>
      <c r="D201" s="34" t="str">
        <f>IF(LEFT(VLOOKUP($A201,Infrastructure!$A$13:$E$74,5,0),21)='Auto Responses'!$A$32,'Auto Responses'!$A$33,VLOOKUP($A201,Infrastructure!$A$13:$E$74,4,0))&amp;""</f>
        <v>Customer data at rest is encrypted using AES-256. Encryption keys are generated and held within the cloud service provider's key management service, which is the standard model for the hosting platform, so the provider necessarily holds the key material as part of that managed service. Preservica administers key policy, generation, storage, distribution, rotation, revocation, backup and destruction in accordance with documented procedures; keys are protected against unauthorised access, are stored separately from the encrypted data where technically feasible, and access is restricted to authorised personnel on a least-privilege basis. Customers hosted on dedicated infrastructure — a separate cloud account or subscription — have unique encryption keys that are not shared with any other customer. Any known or suspected key compromise is treated as a security incident and handled under documented cryptographic key compromise procedures. Encryption and key management are subject to independent assurance through Preservica's ISO/IEC 27001:2022 certification and annual SOC 2 Type II audit. Data in transit is protected by TLS 1.2 or TLS 1.3 only.</v>
      </c>
      <c r="E201" s="326" t="str">
        <f>VLOOKUP($A201,Infrastructure!$A$13:$E$74,5,0)&amp;""</f>
        <v>Describe your key management practices.</v>
      </c>
      <c r="F201" s="191"/>
      <c r="G201" s="30" t="str">
        <f>VLOOKUP($A201,Questions!$A$2:$X$333,21,0)&amp;""</f>
        <v>No</v>
      </c>
      <c r="H201" s="181"/>
      <c r="I201" s="45" t="str">
        <f>VLOOKUP($A201,Questions!$A$2:$X$333,23,0)&amp;""</f>
        <v>Standard Importance</v>
      </c>
      <c r="J201" s="181"/>
      <c r="K201" s="48" t="b">
        <v>0</v>
      </c>
      <c r="L201" s="1"/>
    </row>
    <row r="202" spans="1:12" s="1" customFormat="1" ht="17.5" x14ac:dyDescent="0.25">
      <c r="A202" s="63" t="str">
        <f>VLOOKUP(LEFT($A203,4),'Auto Responses'!$N$4:$O$38,2,0)&amp;""</f>
        <v xml:space="preserve"> Firewalls, IDS, IPS, and Networking</v>
      </c>
      <c r="B202" s="22"/>
      <c r="C202" s="31"/>
      <c r="D202" s="31"/>
      <c r="E202" s="327"/>
      <c r="F202" s="128" t="s">
        <v>632</v>
      </c>
      <c r="G202" s="331" t="s">
        <v>627</v>
      </c>
      <c r="H202" s="331" t="s">
        <v>628</v>
      </c>
      <c r="I202" s="331" t="s">
        <v>629</v>
      </c>
      <c r="J202" s="331" t="s">
        <v>630</v>
      </c>
      <c r="K202" s="331" t="s">
        <v>631</v>
      </c>
    </row>
    <row r="203" spans="1:12" s="29" customFormat="1" ht="409.5" x14ac:dyDescent="0.25">
      <c r="A203" s="19" t="str">
        <f>Infrastructure!$A$52</f>
        <v>FIDP-01</v>
      </c>
      <c r="B203" s="20" t="str">
        <f>VLOOKUP($A203,Infrastructure!$A$13:$E$74,2,0)&amp;""</f>
        <v>Are you utilizing a stateful packet inspection (SPI) firewall?*</v>
      </c>
      <c r="C203" s="45" t="str">
        <f>VLOOKUP($A203,Infrastructure!$A$13:$E$74,3,0)&amp;""</f>
        <v>Yes</v>
      </c>
      <c r="D203" s="34" t="str">
        <f>IF(LEFT(VLOOKUP($A203,Infrastructure!$A$13:$E$74,5,0),21)='Auto Responses'!$A$32,'Auto Responses'!$A$33,VLOOKUP($A203,Infrastructure!$A$13:$E$74,4,0))&amp;""</f>
        <v>Ingress from public to private networks is controlled by cloud-native stateful network access controls operating on a deny-by-default basis, permitting only the specific services required. All cloud environments are contained within isolated virtual private networks; communication between environments is prohibited by default and permitted only where strictly necessary and explicitly approved, and production and non-production networks are logically separated. Servers additionally run host-based firewalls that drop all inbound traffic other than known services. Rules are managed by Preservica's Cloud Operations team under the documented change management process.</v>
      </c>
      <c r="E203" s="326" t="str">
        <f>VLOOKUP($A203,Infrastructure!$A$13:$E$74,5,0)&amp;""</f>
        <v>Describe the currently implemented SPI firewall.</v>
      </c>
      <c r="F203" s="191"/>
      <c r="G203" s="30" t="str">
        <f>VLOOKUP($A203,Questions!$A$2:$X$333,21,0)&amp;""</f>
        <v>Yes</v>
      </c>
      <c r="H203" s="181"/>
      <c r="I203" s="45" t="str">
        <f>VLOOKUP($A203,Questions!$A$2:$X$333,23,0)&amp;""</f>
        <v>Critical Importance</v>
      </c>
      <c r="J203" s="181"/>
      <c r="K203" s="48" t="b">
        <v>0</v>
      </c>
      <c r="L203" s="1"/>
    </row>
    <row r="204" spans="1:12" s="29" customFormat="1" ht="409.5" x14ac:dyDescent="0.25">
      <c r="A204" s="19" t="str">
        <f>Infrastructure!$A$53</f>
        <v>FIDP-02</v>
      </c>
      <c r="B204" s="20" t="str">
        <f>VLOOKUP($A204,Infrastructure!$A$13:$E$74,2,0)&amp;""</f>
        <v>Do you have a documented policy for firewall change requests?*</v>
      </c>
      <c r="C204" s="45" t="str">
        <f>VLOOKUP($A204,Infrastructure!$A$13:$E$74,3,0)&amp;""</f>
        <v>Yes</v>
      </c>
      <c r="D204" s="34" t="str">
        <f>IF(LEFT(VLOOKUP($A204,Infrastructure!$A$13:$E$74,5,0),21)='Auto Responses'!$A$32,'Auto Responses'!$A$33,VLOOKUP($A204,Infrastructure!$A$13:$E$74,4,0))&amp;""</f>
        <v>Firewall and network access control changes are managed under Preservica's documented Change Management procedure, which governs the authorisation, testing and approval of all system changes and is independently tested within Preservica's annual SOC 2 Type II audit. Changes are documented in tickets and subject to quality assurance before implementation. A Change Advisory Board, comprising the Cloud Operations team and chaired by the Operations Director as Change Manager, meets on a fortnightly cycle and approves or denies requests on a holistic view of all changes in the period. The procedure provides for rollback of changes where necessary, and production access is restricted to authorised Operations staff.</v>
      </c>
      <c r="E204" s="326" t="str">
        <f>VLOOKUP($A204,Infrastructure!$A$13:$E$74,5,0)&amp;""</f>
        <v>Describe your documented firewall change request policy.</v>
      </c>
      <c r="F204" s="191"/>
      <c r="G204" s="30" t="str">
        <f>VLOOKUP($A204,Questions!$A$2:$X$333,21,0)&amp;""</f>
        <v>Yes</v>
      </c>
      <c r="H204" s="181"/>
      <c r="I204" s="45" t="str">
        <f>VLOOKUP($A204,Questions!$A$2:$X$333,23,0)&amp;""</f>
        <v>Critical Importance</v>
      </c>
      <c r="J204" s="181"/>
      <c r="K204" s="48" t="b">
        <v>0</v>
      </c>
      <c r="L204" s="1"/>
    </row>
    <row r="205" spans="1:12" s="29" customFormat="1" ht="330" x14ac:dyDescent="0.25">
      <c r="A205" s="19" t="str">
        <f>Infrastructure!$A$54</f>
        <v>FIDP-03</v>
      </c>
      <c r="B205" s="20" t="str">
        <f>VLOOKUP($A205,Infrastructure!$A$13:$E$74,2,0)&amp;""</f>
        <v>Have you implemented an intrusion detection system (network-based)?*</v>
      </c>
      <c r="C205" s="45" t="str">
        <f>VLOOKUP($A205,Infrastructure!$A$13:$E$74,3,0)&amp;""</f>
        <v>Yes</v>
      </c>
      <c r="D205" s="34" t="str">
        <f>IF(LEFT(VLOOKUP($A205,Infrastructure!$A$13:$E$74,5,0),21)='Auto Responses'!$A$32,'Auto Responses'!$A$33,VLOOKUP($A205,Infrastructure!$A$13:$E$74,4,0))&amp;""</f>
        <v>Preservica has implemented Extended Detection and Response (XDR) capabilities across all applicable infrastructure, providing network-based intrusion detection. Detections feed 24x7x365 security operations centre and SIEM monitoring, with relevant infrastructure logs retained for a minimum of 30 days. Coverage of these controls is independently tested within Preservica's annual SOC 2 Type II audit.</v>
      </c>
      <c r="E205" s="326" t="str">
        <f>VLOOKUP($A205,Infrastructure!$A$13:$E$74,5,0)&amp;""</f>
        <v>Describe the currently implemented IDS.</v>
      </c>
      <c r="F205" s="191"/>
      <c r="G205" s="30" t="str">
        <f>VLOOKUP($A205,Questions!$A$2:$X$333,21,0)&amp;""</f>
        <v>Yes</v>
      </c>
      <c r="H205" s="181"/>
      <c r="I205" s="45" t="str">
        <f>VLOOKUP($A205,Questions!$A$2:$X$333,23,0)&amp;""</f>
        <v>Critical Importance</v>
      </c>
      <c r="J205" s="181"/>
      <c r="K205" s="48" t="b">
        <v>0</v>
      </c>
      <c r="L205" s="1"/>
    </row>
    <row r="206" spans="1:12" s="29" customFormat="1" ht="375" x14ac:dyDescent="0.25">
      <c r="A206" s="19" t="str">
        <f>Infrastructure!$A$55</f>
        <v>FIDP-04</v>
      </c>
      <c r="B206" s="20" t="str">
        <f>VLOOKUP($A206,Infrastructure!$A$13:$E$74,2,0)&amp;""</f>
        <v>Do you employ host-based intrusion detection?*</v>
      </c>
      <c r="C206" s="45" t="str">
        <f>VLOOKUP($A206,Infrastructure!$A$13:$E$74,3,0)&amp;""</f>
        <v>Yes</v>
      </c>
      <c r="D206" s="34" t="str">
        <f>IF(LEFT(VLOOKUP($A206,Infrastructure!$A$13:$E$74,5,0),21)='Auto Responses'!$A$32,'Auto Responses'!$A$33,VLOOKUP($A206,Infrastructure!$A$13:$E$74,4,0))&amp;""</f>
        <v>Preservica has implemented Extended Detection and Response (XDR) capabilities across all applicable infrastructure, providing host-based intrusion detection on service hosts in addition to network-based detection. Detections feed 24x7x365 security operations centre and SIEM monitoring, with relevant infrastructure logs retained for a minimum of 30 days. Coverage of these controls is independently tested within Preservica's annual SOC 2 Type II audit.</v>
      </c>
      <c r="E206" s="326" t="str">
        <f>VLOOKUP($A206,Infrastructure!$A$13:$E$74,5,0)&amp;""</f>
        <v>Describe the currently implemented host-based IDS solution(s).</v>
      </c>
      <c r="F206" s="191"/>
      <c r="G206" s="30" t="str">
        <f>VLOOKUP($A206,Questions!$A$2:$X$333,21,0)&amp;""</f>
        <v>Yes</v>
      </c>
      <c r="H206" s="181"/>
      <c r="I206" s="45" t="str">
        <f>VLOOKUP($A206,Questions!$A$2:$X$333,23,0)&amp;""</f>
        <v>Critical Importance</v>
      </c>
      <c r="J206" s="181"/>
      <c r="K206" s="48" t="b">
        <v>0</v>
      </c>
      <c r="L206" s="1"/>
    </row>
    <row r="207" spans="1:12" s="29" customFormat="1" ht="409.5" x14ac:dyDescent="0.25">
      <c r="A207" s="19" t="str">
        <f>Infrastructure!$A$56</f>
        <v>FIDP-05</v>
      </c>
      <c r="B207" s="20" t="str">
        <f>VLOOKUP($A207,Infrastructure!$A$13:$E$74,2,0)&amp;""</f>
        <v>Are audit logs available for all changes to the network, firewall, IDS, and IPS systems?*</v>
      </c>
      <c r="C207" s="45" t="str">
        <f>VLOOKUP($A207,Infrastructure!$A$13:$E$74,3,0)&amp;""</f>
        <v>Yes</v>
      </c>
      <c r="D207" s="34" t="str">
        <f>IF(LEFT(VLOOKUP($A207,Infrastructure!$A$13:$E$74,5,0),21)='Auto Responses'!$A$32,'Auto Responses'!$A$33,VLOOKUP($A207,Infrastructure!$A$13:$E$74,4,0))&amp;""</f>
        <v>Changes to network, firewall and intrusion detection and prevention configuration are recorded as documented change tickets under Preservica's Change Management procedure, which is independently tested within its annual SOC 2 Type II audit. Preservica collects, collates and monitors the underlying infrastructure logs for the service, retaining them for a minimum of 30 days and feeding them into 24x7x365 security operations centre and SIEM monitoring. Logs are shipped to a central SIEM, so local modification is detectable, and access to log data is restricted to authorised personnel.</v>
      </c>
      <c r="E207" s="326" t="str">
        <f>VLOOKUP($A207,Infrastructure!$A$13:$E$74,5,0)&amp;""</f>
        <v>Describe your current network systems logging strategy.</v>
      </c>
      <c r="F207" s="191"/>
      <c r="G207" s="30" t="str">
        <f>VLOOKUP($A207,Questions!$A$2:$X$333,21,0)&amp;""</f>
        <v>Yes</v>
      </c>
      <c r="H207" s="181"/>
      <c r="I207" s="45" t="str">
        <f>VLOOKUP($A207,Questions!$A$2:$X$333,23,0)&amp;""</f>
        <v>Critical Importance</v>
      </c>
      <c r="J207" s="181"/>
      <c r="K207" s="48" t="b">
        <v>0</v>
      </c>
      <c r="L207" s="1"/>
    </row>
    <row r="208" spans="1:12" s="29" customFormat="1" ht="390" x14ac:dyDescent="0.25">
      <c r="A208" s="19" t="str">
        <f>Infrastructure!$A$57</f>
        <v>FIDP-06</v>
      </c>
      <c r="B208" s="20" t="str">
        <f>VLOOKUP($A208,Infrastructure!$A$13:$E$74,2,0)&amp;""</f>
        <v>Is authority for firewall change approval documented? Please list approver names or titles in Additional Info.</v>
      </c>
      <c r="C208" s="45" t="str">
        <f>VLOOKUP($A208,Infrastructure!$A$13:$E$74,3,0)&amp;""</f>
        <v>Yes</v>
      </c>
      <c r="D208" s="34" t="str">
        <f>IF(LEFT(VLOOKUP($A208,Infrastructure!$A$13:$E$74,5,0),21)='Auto Responses'!$A$32,'Auto Responses'!$A$33,VLOOKUP($A208,Infrastructure!$A$13:$E$74,4,0))&amp;""</f>
        <v>Approval authority is documented within Preservica's Change Management procedure. Network and firewall changes are approved by the Change Advisory Board, which comprises the Cloud Operations team and is chaired by the Operations Director in the role of Change Manager. The Chief Information Security Officer holds approval authority for security-related changes. Approval records are maintained as part of the change ticket and are independently tested within Preservica's annual SOC 2 Type II audit.</v>
      </c>
      <c r="E208" s="326" t="str">
        <f>VLOOKUP($A208,Infrastructure!$A$13:$E$74,5,0)&amp;""</f>
        <v>List approver names or titles.</v>
      </c>
      <c r="F208" s="191"/>
      <c r="G208" s="30" t="str">
        <f>VLOOKUP($A208,Questions!$A$2:$X$333,21,0)&amp;""</f>
        <v>Yes</v>
      </c>
      <c r="H208" s="181"/>
      <c r="I208" s="45" t="str">
        <f>VLOOKUP($A208,Questions!$A$2:$X$333,23,0)&amp;""</f>
        <v>Standard Importance</v>
      </c>
      <c r="J208" s="181"/>
      <c r="K208" s="48" t="b">
        <v>0</v>
      </c>
      <c r="L208" s="1"/>
    </row>
    <row r="209" spans="1:12" s="29" customFormat="1" ht="409.5" x14ac:dyDescent="0.25">
      <c r="A209" s="19" t="str">
        <f>Infrastructure!$A$58</f>
        <v>FIDP-07</v>
      </c>
      <c r="B209" s="20" t="str">
        <f>VLOOKUP($A209,Infrastructure!$A$13:$E$74,2,0)&amp;""</f>
        <v>Have you implemented an intrusion prevention system (network-based)?</v>
      </c>
      <c r="C209" s="45" t="str">
        <f>VLOOKUP($A209,Infrastructure!$A$13:$E$74,3,0)&amp;""</f>
        <v>Yes</v>
      </c>
      <c r="D209" s="34" t="str">
        <f>IF(LEFT(VLOOKUP($A209,Infrastructure!$A$13:$E$74,5,0),21)='Auto Responses'!$A$32,'Auto Responses'!$A$33,VLOOKUP($A209,Infrastructure!$A$13:$E$74,4,0))&amp;""</f>
        <v>Preservica has implemented Extended Detection and Response (XDR) capabilities across all applicable infrastructure, providing network-based intrusion prevention as well as detection. This operates alongside deny-by-default network access controls, distributed denial-of-service protection on all customer environments, and a Cloudflare Web Application Firewall on Professional edition environments and above. Activity is monitored on a 24x7x365 basis by security operations centre and SIEM monitoring.</v>
      </c>
      <c r="E209" s="326" t="str">
        <f>VLOOKUP($A209,Infrastructure!$A$13:$E$74,5,0)&amp;""</f>
        <v>Describe the currently implemented IPS.</v>
      </c>
      <c r="F209" s="191"/>
      <c r="G209" s="30" t="str">
        <f>VLOOKUP($A209,Questions!$A$2:$X$333,21,0)&amp;""</f>
        <v>Yes</v>
      </c>
      <c r="H209" s="181"/>
      <c r="I209" s="45" t="str">
        <f>VLOOKUP($A209,Questions!$A$2:$X$333,23,0)&amp;""</f>
        <v>Standard Importance</v>
      </c>
      <c r="J209" s="181"/>
      <c r="K209" s="48" t="b">
        <v>0</v>
      </c>
      <c r="L209" s="1"/>
    </row>
    <row r="210" spans="1:12" s="29" customFormat="1" ht="345" x14ac:dyDescent="0.25">
      <c r="A210" s="19" t="str">
        <f>Infrastructure!$A$59</f>
        <v>FIDP-08</v>
      </c>
      <c r="B210" s="20" t="str">
        <f>VLOOKUP($A210,Infrastructure!$A$13:$E$74,2,0)&amp;""</f>
        <v>Do you employ host-based intrusion prevention?</v>
      </c>
      <c r="C210" s="45" t="str">
        <f>VLOOKUP($A210,Infrastructure!$A$13:$E$74,3,0)&amp;""</f>
        <v>Yes</v>
      </c>
      <c r="D210" s="34" t="str">
        <f>IF(LEFT(VLOOKUP($A210,Infrastructure!$A$13:$E$74,5,0),21)='Auto Responses'!$A$32,'Auto Responses'!$A$33,VLOOKUP($A210,Infrastructure!$A$13:$E$74,4,0))&amp;""</f>
        <v>Preservica has implemented Extended Detection and Response (XDR) capabilities across all applicable infrastructure, providing host-based intrusion prevention on service hosts. Service hosts additionally run host-based firewalls that drop all inbound traffic other than known services. Activity is monitored on a 24x7x365 basis by security operations centre and SIEM monitoring, with relevant infrastructure logs retained for a minimum of 30 days.</v>
      </c>
      <c r="E210" s="326" t="str">
        <f>VLOOKUP($A210,Infrastructure!$A$13:$E$74,5,0)&amp;""</f>
        <v>Describe the currently implemented host-based IPS solution(s).</v>
      </c>
      <c r="F210" s="191"/>
      <c r="G210" s="30" t="str">
        <f>VLOOKUP($A210,Questions!$A$2:$X$333,21,0)&amp;""</f>
        <v>Yes</v>
      </c>
      <c r="H210" s="181"/>
      <c r="I210" s="45" t="str">
        <f>VLOOKUP($A210,Questions!$A$2:$X$333,23,0)&amp;""</f>
        <v>Standard Importance</v>
      </c>
      <c r="J210" s="181"/>
      <c r="K210" s="48" t="b">
        <v>0</v>
      </c>
      <c r="L210" s="1"/>
    </row>
    <row r="211" spans="1:12" s="29" customFormat="1" ht="409.5" x14ac:dyDescent="0.25">
      <c r="A211" s="19" t="str">
        <f>Infrastructure!$A$60</f>
        <v>FIDP-09</v>
      </c>
      <c r="B211" s="20" t="str">
        <f>VLOOKUP($A211,Infrastructure!$A$13:$E$74,2,0)&amp;""</f>
        <v>Are you employing any next-generation persistent threat (NGPT) monitoring?</v>
      </c>
      <c r="C211" s="45" t="str">
        <f>VLOOKUP($A211,Infrastructure!$A$13:$E$74,3,0)&amp;""</f>
        <v>Yes</v>
      </c>
      <c r="D211" s="34" t="str">
        <f>IF(LEFT(VLOOKUP($A211,Infrastructure!$A$13:$E$74,5,0),21)='Auto Responses'!$A$32,'Auto Responses'!$A$33,VLOOKUP($A211,Infrastructure!$A$13:$E$74,4,0))&amp;""</f>
        <v>Preservica has implemented Extended Detection and Response (XDR) capabilities across all applicable infrastructure, with 24x7x365 security operations centre and SIEM monitoring of platform activity. This is supported by a threat management capability drawing on multiple sources — software vendors, trusted third parties, open-source intelligence, customer feedback and information security communities — with Preservica's Information Security team maintaining active subscriptions to threat intelligence and vulnerability feeds. Continuous infrastructure vulnerability detection and response operates across the platform and is reviewed at least monthly.</v>
      </c>
      <c r="E211" s="326" t="str">
        <f>VLOOKUP($A211,Infrastructure!$A$13:$E$74,5,0)&amp;""</f>
        <v>Describe your NGPT monitoring strategy.</v>
      </c>
      <c r="F211" s="191"/>
      <c r="G211" s="30" t="str">
        <f>VLOOKUP($A211,Questions!$A$2:$X$333,21,0)&amp;""</f>
        <v>Yes</v>
      </c>
      <c r="H211" s="181"/>
      <c r="I211" s="45" t="str">
        <f>VLOOKUP($A211,Questions!$A$2:$X$333,23,0)&amp;""</f>
        <v>Standard Importance</v>
      </c>
      <c r="J211" s="181"/>
      <c r="K211" s="48" t="b">
        <v>0</v>
      </c>
      <c r="L211" s="1"/>
    </row>
    <row r="212" spans="1:12" s="29" customFormat="1" ht="409.5" x14ac:dyDescent="0.25">
      <c r="A212" s="19" t="str">
        <f>Infrastructure!$A$61</f>
        <v>FIDP-10</v>
      </c>
      <c r="B212" s="20" t="str">
        <f>VLOOKUP($A212,Infrastructure!$A$13:$E$74,2,0)&amp;""</f>
        <v>Is intrusion monitoring performed internally or by a third-party service?</v>
      </c>
      <c r="C212" s="45" t="str">
        <f>VLOOKUP($A212,Infrastructure!$A$13:$E$74,3,0)&amp;""</f>
        <v>Yes</v>
      </c>
      <c r="D212" s="34" t="str">
        <f>IF(LEFT(VLOOKUP($A212,Infrastructure!$A$13:$E$74,5,0),21)='Auto Responses'!$A$32,'Auto Responses'!$A$33,VLOOKUP($A212,Infrastructure!$A$13:$E$74,4,0))&amp;""</f>
        <v>Both. Intrusion monitoring is performed by Preservica's own Information Security and Cloud Operations teams and, on a 24x7x365 basis, by a third-party Managed Security Services Partner providing security operations centre and SIEM services. The Managed Security Services Partner monitors infrastructure and security telemetry only and does not have access to institutional data held in the platform. The outsourced arrangement is described in Preservica's SOC 2 Type II report, which is available to customers on request.</v>
      </c>
      <c r="E212" s="326" t="str">
        <f>VLOOKUP($A212,Infrastructure!$A$13:$E$74,5,0)&amp;""</f>
        <v>In addition to stating your intrusion monitoring strategy, provide a brief summary of its implementation.</v>
      </c>
      <c r="F212" s="191"/>
      <c r="G212" s="30" t="str">
        <f>VLOOKUP($A212,Questions!$A$2:$X$333,21,0)&amp;""</f>
        <v>Not scored</v>
      </c>
      <c r="H212" s="181"/>
      <c r="I212" s="45" t="str">
        <f>VLOOKUP($A212,Questions!$A$2:$X$333,23,0)&amp;""</f>
        <v/>
      </c>
      <c r="J212" s="181"/>
      <c r="K212" s="48" t="b">
        <v>0</v>
      </c>
      <c r="L212" s="1"/>
    </row>
    <row r="213" spans="1:12" s="29" customFormat="1" ht="409.5" x14ac:dyDescent="0.25">
      <c r="A213" s="19" t="str">
        <f>Infrastructure!$A$62</f>
        <v>FIDP-11</v>
      </c>
      <c r="B213" s="20" t="str">
        <f>VLOOKUP($A213,Infrastructure!$A$13:$E$74,2,0)&amp;""</f>
        <v>Do you monitor for intrusions on a 24 x 7 x 365 basis?</v>
      </c>
      <c r="C213" s="45" t="str">
        <f>VLOOKUP($A213,Infrastructure!$A$13:$E$74,3,0)&amp;""</f>
        <v>Yes</v>
      </c>
      <c r="D213" s="34" t="str">
        <f>IF(LEFT(VLOOKUP($A213,Infrastructure!$A$13:$E$74,5,0),21)='Auto Responses'!$A$32,'Auto Responses'!$A$33,VLOOKUP($A213,Infrastructure!$A$13:$E$74,4,0))&amp;""</f>
        <v>Security monitoring operates continuously, 24 hours a day, every day of the year. A third-party Managed Security Services Partner provides security operations centre and SIEM monitoring on a 24x7x365 basis, monitoring infrastructure and security telemetry only and without access to institutional data held in the platform. Detections are triaged against an established runbook that escalates confirmed issues to the appropriate Preservica personnel for response, and the partner can support incidents at any severity. Relevant infrastructure logs are retained for a minimum of 30 days. These arrangements are described in Preservica's SOC 2 Type II report, which is available to customers on request.</v>
      </c>
      <c r="E213" s="326" t="str">
        <f>VLOOKUP($A213,Infrastructure!$A$13:$E$74,5,0)&amp;""</f>
        <v>Provide a brief summary of this activity.</v>
      </c>
      <c r="F213" s="191"/>
      <c r="G213" s="30" t="str">
        <f>VLOOKUP($A213,Questions!$A$2:$X$333,21,0)&amp;""</f>
        <v>Yes</v>
      </c>
      <c r="H213" s="181"/>
      <c r="I213" s="45" t="str">
        <f>VLOOKUP($A213,Questions!$A$2:$X$333,23,0)&amp;""</f>
        <v>Minor Importance</v>
      </c>
      <c r="J213" s="181"/>
      <c r="K213" s="48" t="b">
        <v>0</v>
      </c>
      <c r="L213" s="1"/>
    </row>
    <row r="214" spans="1:12" s="1" customFormat="1" ht="17.5" x14ac:dyDescent="0.25">
      <c r="A214" s="63" t="str">
        <f>VLOOKUP(LEFT($A215,4),'Auto Responses'!$N$4:$O$38,2,0)&amp;""</f>
        <v xml:space="preserve"> Incident Handling</v>
      </c>
      <c r="B214" s="22"/>
      <c r="C214" s="31"/>
      <c r="D214" s="31"/>
      <c r="E214" s="327"/>
      <c r="F214" s="128" t="s">
        <v>632</v>
      </c>
      <c r="G214" s="331" t="s">
        <v>627</v>
      </c>
      <c r="H214" s="331" t="s">
        <v>628</v>
      </c>
      <c r="I214" s="331" t="s">
        <v>629</v>
      </c>
      <c r="J214" s="331" t="s">
        <v>630</v>
      </c>
      <c r="K214" s="331" t="s">
        <v>631</v>
      </c>
    </row>
    <row r="215" spans="1:12" s="29" customFormat="1" ht="409.5" x14ac:dyDescent="0.25">
      <c r="A215" s="19" t="str">
        <f>Infrastructure!$A$64</f>
        <v>HFIH-01</v>
      </c>
      <c r="B215" s="20" t="str">
        <f>VLOOKUP($A215,Infrastructure!$A$13:$E$74,2,0)&amp;""</f>
        <v>Do you have a formal incident response plan?</v>
      </c>
      <c r="C215" s="45" t="str">
        <f>VLOOKUP($A215,Infrastructure!$A$13:$E$74,3,0)&amp;""</f>
        <v>Yes</v>
      </c>
      <c r="D215" s="34" t="str">
        <f>IF(LEFT(VLOOKUP($A215,Infrastructure!$A$13:$E$74,5,0),21)='Auto Responses'!$A$32,'Auto Responses'!$A$33,VLOOKUP($A215,Infrastructure!$A$13:$E$74,4,0))&amp;""</f>
        <v>Yes. Preservica maintains a documented Incident Management Policy supported by a Cyber Incident Response Plan with scenario-specific playbooks and a Crisis Management Communications Plan governing internal and external communications, with hard copies held offline for resilience. The Chief Information Security Officer holds overall responsibility. Incidents are classified by severity with defined internal notification and escalation paths; where personal data has been, or is likely to have been, affected, Preservica's Data Protection Officer is engaged as part of that escalation path and advises on assessment, containment and notification. All incidents are documented with root-cause analysis and a lessons-learned review within seven days of recovery, with evidence retained for a minimum of three years, and findings from exercises and actual incidents are presented to the Leadership Team. A full response exercise is conducted at least annually. All employees, temporary staff and contractors are trained on incident identification and reporting at onboarding and annually thereafter. These controls fall within the scope of Preservica's ISO/IEC 27001:2022 certification and are independently tested within its annual SOC 2 Type II audit. Compliance documentation is available at https://preservica.com/trust-center.</v>
      </c>
      <c r="E215" s="326" t="str">
        <f>VLOOKUP($A215,Infrastructure!$A$13:$E$74,5,0)&amp;""</f>
        <v>Summarize or provide a link to your formal incident response plan.</v>
      </c>
      <c r="F215" s="191"/>
      <c r="G215" s="30" t="str">
        <f>VLOOKUP($A215,Questions!$A$2:$X$333,21,0)&amp;""</f>
        <v>Yes</v>
      </c>
      <c r="H215" s="181"/>
      <c r="I215" s="45" t="str">
        <f>VLOOKUP($A215,Questions!$A$2:$X$333,23,0)&amp;""</f>
        <v>Standard Importance</v>
      </c>
      <c r="J215" s="181"/>
      <c r="K215" s="48" t="b">
        <v>0</v>
      </c>
      <c r="L215" s="1"/>
    </row>
    <row r="216" spans="1:12" s="29" customFormat="1" ht="409.5" x14ac:dyDescent="0.25">
      <c r="A216" s="19" t="str">
        <f>Infrastructure!$A$65</f>
        <v>HFIH-02</v>
      </c>
      <c r="B216" s="20" t="str">
        <f>VLOOKUP($A216,Infrastructure!$A$13:$E$74,2,0)&amp;""</f>
        <v>Do you either have an internal incident response team or retain an external team?</v>
      </c>
      <c r="C216" s="45" t="str">
        <f>VLOOKUP($A216,Infrastructure!$A$13:$E$74,3,0)&amp;""</f>
        <v>Yes</v>
      </c>
      <c r="D216" s="34" t="str">
        <f>IF(LEFT(VLOOKUP($A216,Infrastructure!$A$13:$E$74,5,0),21)='Auto Responses'!$A$32,'Auto Responses'!$A$33,VLOOKUP($A216,Infrastructure!$A$13:$E$74,4,0))&amp;""</f>
        <v>Both. Preservica maintains an internal incident response capability led by the Chief Information Security Officer, with defined severity classification and internal notification and escalation paths, supplemented by retained external incident response support. Incidents are reported by any member of staff — all employees, temporary staff and contractors are trained on incident identification and reporting at onboarding and annually — triaged and classified by severity, managed under the Cyber Incident Response Plan and its scenario-specific playbooks, and communicated under the Crisis Management Communications Plan. Confirmed incidents affecting an institution's environment, and confirmed breaches affecting its data, are notified to that institution; notification timescales are as set out in the customer's agreement. Every incident is closed out with root-cause analysis and a lessons-learned review within seven days of recovery, with findings presented to the Leadership Team.</v>
      </c>
      <c r="E216" s="326" t="str">
        <f>VLOOKUP($A216,Infrastructure!$A$13:$E$74,5,0)&amp;""</f>
        <v>Summarize your incident response and reporting processes.</v>
      </c>
      <c r="F216" s="191"/>
      <c r="G216" s="30" t="str">
        <f>VLOOKUP($A216,Questions!$A$2:$X$333,21,0)&amp;""</f>
        <v>Yes</v>
      </c>
      <c r="H216" s="181"/>
      <c r="I216" s="45" t="str">
        <f>VLOOKUP($A216,Questions!$A$2:$X$333,23,0)&amp;""</f>
        <v>Minor Importance</v>
      </c>
      <c r="J216" s="181"/>
      <c r="K216" s="48" t="b">
        <v>0</v>
      </c>
      <c r="L216" s="1"/>
    </row>
    <row r="217" spans="1:12" s="29" customFormat="1" ht="409.5" x14ac:dyDescent="0.25">
      <c r="A217" s="19" t="str">
        <f>Infrastructure!$A$66</f>
        <v>HFIH-03</v>
      </c>
      <c r="B217" s="20" t="str">
        <f>VLOOKUP($A217,Infrastructure!$A$13:$E$74,2,0)&amp;""</f>
        <v>Do you have the capability to respond to incidents on a 24 x 7 x 365 basis?</v>
      </c>
      <c r="C217" s="45" t="str">
        <f>VLOOKUP($A217,Infrastructure!$A$13:$E$74,3,0)&amp;""</f>
        <v>Yes</v>
      </c>
      <c r="D217" s="34" t="str">
        <f>IF(LEFT(VLOOKUP($A217,Infrastructure!$A$13:$E$74,5,0),21)='Auto Responses'!$A$32,'Auto Responses'!$A$33,VLOOKUP($A217,Infrastructure!$A$13:$E$74,4,0))&amp;""</f>
        <v>Yes. Preservica has engaged a Managed Security Services Partner providing security operations centre and SIEM services on a 24x7x365 basis, and that partner can support incidents at any severity. An established runbook ensures that detections are escalated to the appropriate Preservica personnel for response, under the ownership of the Chief Information Security Officer and in line with the Cyber Incident Response Plan and its scenario-specific playbooks. Preservica also retains access to specialist external incident response support. These arrangements are described in Preservica's SOC 2 Type II report, which is available to customers on request.</v>
      </c>
      <c r="E217" s="326" t="str">
        <f>VLOOKUP($A217,Infrastructure!$A$13:$E$74,5,0)&amp;""</f>
        <v>Summarize your internal approach or reference your third-party contractor.</v>
      </c>
      <c r="F217" s="191"/>
      <c r="G217" s="30" t="str">
        <f>VLOOKUP($A217,Questions!$A$2:$X$333,21,0)&amp;""</f>
        <v>Yes</v>
      </c>
      <c r="H217" s="181"/>
      <c r="I217" s="45" t="str">
        <f>VLOOKUP($A217,Questions!$A$2:$X$333,23,0)&amp;""</f>
        <v>Minor Importance</v>
      </c>
      <c r="J217" s="181"/>
      <c r="K217" s="48" t="b">
        <v>0</v>
      </c>
      <c r="L217" s="1"/>
    </row>
    <row r="218" spans="1:12" s="29" customFormat="1" ht="195" x14ac:dyDescent="0.25">
      <c r="A218" s="19" t="str">
        <f>Infrastructure!$A$67</f>
        <v>HFIH-04</v>
      </c>
      <c r="B218" s="20" t="str">
        <f>VLOOKUP($A218,Infrastructure!$A$13:$E$74,2,0)&amp;""</f>
        <v>Do you carry cyber-risk insurance to protect against unforeseen service outages, data that is lost or stolen, and security incidents?</v>
      </c>
      <c r="C218" s="45" t="str">
        <f>VLOOKUP($A218,Infrastructure!$A$13:$E$74,3,0)&amp;""</f>
        <v>Yes</v>
      </c>
      <c r="D218" s="34" t="str">
        <f>IF(LEFT(VLOOKUP($A218,Infrastructure!$A$13:$E$74,5,0),21)='Auto Responses'!$A$32,'Auto Responses'!$A$33,VLOOKUP($A218,Infrastructure!$A$13:$E$74,4,0))&amp;""</f>
        <v>Yes. Preservica maintains cyber insurance, which includes access to specialist incident response support. Coverage terms, and any remedies available to the institution, are as set out in the institution's signed agreement with Preservica.</v>
      </c>
      <c r="E218" s="326" t="str">
        <f>VLOOKUP($A218,Infrastructure!$A$13:$E$74,5,0)&amp;""</f>
        <v>Describe the coverage in place for this solution.</v>
      </c>
      <c r="F218" s="191"/>
      <c r="G218" s="30" t="str">
        <f>VLOOKUP($A218,Questions!$A$2:$X$333,21,0)&amp;""</f>
        <v>Yes</v>
      </c>
      <c r="H218" s="181"/>
      <c r="I218" s="45" t="str">
        <f>VLOOKUP($A218,Questions!$A$2:$X$333,23,0)&amp;""</f>
        <v>Minor Importance</v>
      </c>
      <c r="J218" s="181"/>
      <c r="K218" s="48" t="b">
        <v>0</v>
      </c>
      <c r="L218" s="1"/>
    </row>
    <row r="219" spans="1:12" s="1" customFormat="1" ht="17.5" x14ac:dyDescent="0.25">
      <c r="A219" s="63" t="str">
        <f>VLOOKUP(LEFT($A220,4),'Auto Responses'!$N$4:$O$38,2,0)&amp;""</f>
        <v xml:space="preserve"> Vulnerability Management</v>
      </c>
      <c r="B219" s="22"/>
      <c r="C219" s="31"/>
      <c r="D219" s="31"/>
      <c r="E219" s="327"/>
      <c r="F219" s="128" t="s">
        <v>632</v>
      </c>
      <c r="G219" s="331" t="s">
        <v>627</v>
      </c>
      <c r="H219" s="331" t="s">
        <v>628</v>
      </c>
      <c r="I219" s="331" t="s">
        <v>629</v>
      </c>
      <c r="J219" s="331" t="s">
        <v>630</v>
      </c>
      <c r="K219" s="331" t="s">
        <v>631</v>
      </c>
    </row>
    <row r="220" spans="1:12" s="29" customFormat="1" ht="409.5" x14ac:dyDescent="0.25">
      <c r="A220" s="19" t="str">
        <f>Infrastructure!$A$69</f>
        <v>VULN-01</v>
      </c>
      <c r="B220" s="20" t="str">
        <f>VLOOKUP($A220,Infrastructure!$A$13:$E$74,2,0)&amp;""</f>
        <v>Are your systems and applications scanned with an authenticated user account for vulnerabilities (that are remediated) prior to new releases?*</v>
      </c>
      <c r="C220" s="45" t="str">
        <f>VLOOKUP($A220,Infrastructure!$A$13:$E$74,3,0)&amp;""</f>
        <v>Yes</v>
      </c>
      <c r="D220" s="34" t="str">
        <f>IF(LEFT(VLOOKUP($A220,Infrastructure!$A$13:$E$74,5,0),21)='Auto Responses'!$A$32,'Auto Responses'!$A$33,VLOOKUP($A220,Infrastructure!$A$13:$E$74,4,0))&amp;""</f>
        <v>Static Application Security Testing, including dependency analysis, is integrated into developer IDEs and enforced at every pull request; no source code change is accepted into the main branch without both a second-person review and a static analysis review for vulnerabilities, licensing issues and hard-coded secrets. Dynamic Application Security Testing is performed as a release gate against every release candidate, and vulnerability scans are performed as an authenticated user. Infrastructure vulnerability scanning runs continuously and is reviewed at least monthly. Identified vulnerabilities are assessed and remediated in line with the risk they pose, as determined by Preservica's Information Security team, taking into account the vendor's own rating including any CVSS score, the applicability and configuration of the affected component within Preservica's environment, and any existing compensating controls.</v>
      </c>
      <c r="E220" s="326" t="str">
        <f>VLOOKUP($A220,Infrastructure!$A$13:$E$74,5,0)&amp;""</f>
        <v>Provide a brief description.</v>
      </c>
      <c r="F220" s="191"/>
      <c r="G220" s="30" t="str">
        <f>VLOOKUP($A220,Questions!$A$2:$X$333,21,0)&amp;""</f>
        <v>Yes</v>
      </c>
      <c r="H220" s="181"/>
      <c r="I220" s="45" t="str">
        <f>VLOOKUP($A220,Questions!$A$2:$X$333,23,0)&amp;""</f>
        <v>Critical Importance</v>
      </c>
      <c r="J220" s="181"/>
      <c r="K220" s="48" t="b">
        <v>0</v>
      </c>
      <c r="L220" s="1"/>
    </row>
    <row r="221" spans="1:12" s="29" customFormat="1" ht="409.5" x14ac:dyDescent="0.25">
      <c r="A221" s="19" t="str">
        <f>Infrastructure!$A$70</f>
        <v>VULN-02</v>
      </c>
      <c r="B221" s="20" t="str">
        <f>VLOOKUP($A221,Infrastructure!$A$13:$E$74,2,0)&amp;""</f>
        <v>Will you provide results of application and system vulnerability scans to the institution?*</v>
      </c>
      <c r="C221" s="45" t="str">
        <f>VLOOKUP($A221,Infrastructure!$A$13:$E$74,3,0)&amp;""</f>
        <v>Yes</v>
      </c>
      <c r="D221" s="34" t="str">
        <f>IF(LEFT(VLOOKUP($A221,Infrastructure!$A$13:$E$74,5,0),21)='Auto Responses'!$A$32,'Auto Responses'!$A$33,VLOOKUP($A221,Infrastructure!$A$13:$E$74,4,0))&amp;""</f>
        <v>Preservica provides the summary report of its independent annual penetration test, conducted by a CREST-certified third party across application, API and infrastructure layers, together with a cover letter from Preservica's Chief Information Security Officer summarising the current status of findings. Existing customers may request this directly; prospective customers will be asked to sign a non-disclosure agreement first. Requests should be sent to Information.Security@preservica.com. Preservica's SOC 2 Type II report, covering an audit period running from October to September each year, is also available to customers on request, and certification documentation is published at https://preservica.com/trust-center. Raw output from internal scanning tooling is not released.</v>
      </c>
      <c r="E221" s="326" t="str">
        <f>VLOOKUP($A221,Infrastructure!$A$13:$E$74,5,0)&amp;""</f>
        <v>Provide a reference to security scan documentation.</v>
      </c>
      <c r="F221" s="191"/>
      <c r="G221" s="30" t="str">
        <f>VLOOKUP($A221,Questions!$A$2:$X$333,21,0)&amp;""</f>
        <v>Yes</v>
      </c>
      <c r="H221" s="181"/>
      <c r="I221" s="45" t="str">
        <f>VLOOKUP($A221,Questions!$A$2:$X$333,23,0)&amp;""</f>
        <v>Critical Importance</v>
      </c>
      <c r="J221" s="181"/>
      <c r="K221" s="48" t="b">
        <v>0</v>
      </c>
      <c r="L221" s="1"/>
    </row>
    <row r="222" spans="1:12" s="29" customFormat="1" ht="409.5" x14ac:dyDescent="0.25">
      <c r="A222" s="19" t="str">
        <f>Infrastructure!$A$71</f>
        <v>VULN-03</v>
      </c>
      <c r="B222" s="20" t="str">
        <f>VLOOKUP($A222,Infrastructure!$A$13:$E$74,2,0)&amp;""</f>
        <v>Will you allow the institution to perform its own vulnerability testing and/or scanning of your systems and/or application, provided that testing is performed at a mutually agreed upon time and date?*</v>
      </c>
      <c r="C222" s="45" t="str">
        <f>VLOOKUP($A222,Infrastructure!$A$13:$E$74,3,0)&amp;""</f>
        <v>Yes</v>
      </c>
      <c r="D222" s="34" t="str">
        <f>IF(LEFT(VLOOKUP($A222,Infrastructure!$A$13:$E$74,5,0),21)='Auto Responses'!$A$32,'Auto Responses'!$A$33,VLOOKUP($A222,Infrastructure!$A$13:$E$74,4,0))&amp;""</f>
        <v>Customer-initiated security testing is available to institutions on dedicated-infrastructure editions — Enterprise Plus and Enterprise Plus with Performance Pack. It is not permitted on multi-tenant environments under any circumstances, because testing activity cannot be scoped so as to protect the other customers sharing that infrastructure. Eligible institutions submit a Customer Security Testing Request and must receive written approval from Preservica's Information Security team before testing commences. The form captures the specific scanning targets and scanning source addresses, at least two proposed discrete and time-bounded testing windows (typically one to five business days), and the type and depth of testing requested. A minimum of 30 days' notice is required before the earliest proposed start date, so that Preservica can coordinate with its security operations centre, Cloud Operations team, network operators and cloud service providers — without that coordination, legitimate scanning traffic could trigger security alerts or automated blocking and disrupt the test or the service. An institution may appoint a third-party security firm to test on its behalf, provided the firm is identified in the request and is subject to the same scope, source and timing constraints. Continuous or open-ended scanning, denial-of-service testing, and any expansion beyond the approved targets, sources and time window are not permitted. Results must be shared with Preservica's Information Security team at the conclusion of testing, and both parties jointly review findings before remediation timelines are discussed. Requests should be sent to Information.Security@preservica.com.</v>
      </c>
      <c r="E222" s="326" t="str">
        <f>VLOOKUP($A222,Infrastructure!$A$13:$E$74,5,0)&amp;""</f>
        <v>Provide reference to the process or procedure to set up security testing times and scopes.</v>
      </c>
      <c r="F222" s="191"/>
      <c r="G222" s="30" t="str">
        <f>VLOOKUP($A222,Questions!$A$2:$X$333,21,0)&amp;""</f>
        <v>Yes</v>
      </c>
      <c r="H222" s="181"/>
      <c r="I222" s="45" t="str">
        <f>VLOOKUP($A222,Questions!$A$2:$X$333,23,0)&amp;""</f>
        <v>Critical Importance</v>
      </c>
      <c r="J222" s="181"/>
      <c r="K222" s="48" t="b">
        <v>0</v>
      </c>
      <c r="L222" s="1"/>
    </row>
    <row r="223" spans="1:12" s="29" customFormat="1" ht="409.5" x14ac:dyDescent="0.25">
      <c r="A223" s="19" t="str">
        <f>Infrastructure!$A$72</f>
        <v>VULN-04</v>
      </c>
      <c r="B223" s="20" t="str">
        <f>VLOOKUP($A223,Infrastructure!$A$13:$E$74,2,0)&amp;""</f>
        <v>Have your systems and applications had a third-party security assessment completed in the last year?</v>
      </c>
      <c r="C223" s="45" t="str">
        <f>VLOOKUP($A223,Infrastructure!$A$13:$E$74,3,0)&amp;""</f>
        <v>Yes</v>
      </c>
      <c r="D223" s="34" t="str">
        <f>IF(LEFT(VLOOKUP($A223,Infrastructure!$A$13:$E$74,5,0),21)='Auto Responses'!$A$32,'Auto Responses'!$A$33,VLOOKUP($A223,Infrastructure!$A$13:$E$74,4,0))&amp;""</f>
        <v>Preservica commissions an independent penetration test at least annually, conducted by a CREST-certified third-party firm and covering the application, API and infrastructure layers. Preservica also undergoes an annual SOC 2 Type II audit by an independent auditor, with a report period running from October to September each year, and is independently certified to ISO/IEC 27001:2022 and ISO 9001:2015, with Cyber Essentials and Cyber Essentials Plus certification and TX-RAMP and AZRAMP certifications. The penetration test summary report is available on request together with a cover letter from Preservica's Chief Information Security Officer summarising the current status of findings; existing customers may request it directly, and prospective customers will be asked to sign a non-disclosure agreement first. Requests should be sent to Information.Security@preservica.com. Certification documentation is published at https://preservica.com/trust-center.</v>
      </c>
      <c r="E223" s="326" t="str">
        <f>VLOOKUP($A223,Infrastructure!$A$13:$E$74,5,0)&amp;""</f>
        <v>Provide the results with this document (link or attached), if possible. State the date of the last completed third-party security assessment.</v>
      </c>
      <c r="F223" s="191"/>
      <c r="G223" s="30" t="str">
        <f>VLOOKUP($A223,Questions!$A$2:$X$333,21,0)&amp;""</f>
        <v>Yes</v>
      </c>
      <c r="H223" s="181"/>
      <c r="I223" s="45" t="str">
        <f>VLOOKUP($A223,Questions!$A$2:$X$333,23,0)&amp;""</f>
        <v>Standard Importance</v>
      </c>
      <c r="J223" s="181"/>
      <c r="K223" s="48" t="b">
        <v>0</v>
      </c>
      <c r="L223" s="1"/>
    </row>
    <row r="224" spans="1:12" s="29" customFormat="1" ht="409.5" x14ac:dyDescent="0.25">
      <c r="A224" s="19" t="str">
        <f>Infrastructure!$A$73</f>
        <v>VULN-05</v>
      </c>
      <c r="B224" s="20" t="str">
        <f>VLOOKUP($A224,Infrastructure!$A$13:$E$74,2,0)&amp;""</f>
        <v>Do you regularly scan for common web application security vulnerabilities (e.g., SQL injection, XSS, XSRF, etc.)?</v>
      </c>
      <c r="C224" s="45" t="str">
        <f>VLOOKUP($A224,Infrastructure!$A$13:$E$74,3,0)&amp;""</f>
        <v>Yes</v>
      </c>
      <c r="D224" s="34" t="str">
        <f>IF(LEFT(VLOOKUP($A224,Infrastructure!$A$13:$E$74,5,0),21)='Auto Responses'!$A$32,'Auto Responses'!$A$33,VLOOKUP($A224,Infrastructure!$A$13:$E$74,4,0))&amp;""</f>
        <v>Yes. Preservica's secure development framework is the OWASP Top 10 (2025), and system designs are assessed against the OWASP Top 10 categories at the design phase. Static Application Security Testing is integrated into developer IDEs and enforced at every pull request; Dynamic Application Security Testing is performed as a release gate against every release candidate; and an independent CREST-certified penetration test covering the application and API layers is performed at least annually. Between them these cover the common web application vulnerability classes, including injection, cross-site scripting and cross-site request forgery. Engineers are required to ensure that code is free of the current OWASP Top 10 web application security risks before it is deployed to production.</v>
      </c>
      <c r="E224" s="326" t="str">
        <f>VLOOKUP($A224,Infrastructure!$A$13:$E$74,5,0)&amp;""</f>
        <v>Ensure that all elements of VULN-05 are clearly stated in your response.</v>
      </c>
      <c r="F224" s="191"/>
      <c r="G224" s="30" t="str">
        <f>VLOOKUP($A224,Questions!$A$2:$X$333,21,0)&amp;""</f>
        <v>Yes</v>
      </c>
      <c r="H224" s="181"/>
      <c r="I224" s="45" t="str">
        <f>VLOOKUP($A224,Questions!$A$2:$X$333,23,0)&amp;""</f>
        <v>Standard Importance</v>
      </c>
      <c r="J224" s="181"/>
      <c r="K224" s="48" t="b">
        <v>0</v>
      </c>
      <c r="L224" s="1"/>
    </row>
    <row r="225" spans="1:12" s="29" customFormat="1" ht="409.6" thickBot="1" x14ac:dyDescent="0.3">
      <c r="A225" s="19" t="str">
        <f>Infrastructure!$A$74</f>
        <v>VULN-06</v>
      </c>
      <c r="B225" s="20" t="str">
        <f>VLOOKUP($A225,Infrastructure!$A$13:$E$74,2,0)&amp;""</f>
        <v>Are your systems and applications regularly scanned externally for vulnerabilities?</v>
      </c>
      <c r="C225" s="45" t="str">
        <f>VLOOKUP($A225,Infrastructure!$A$13:$E$74,3,0)&amp;""</f>
        <v>Yes</v>
      </c>
      <c r="D225" s="34" t="str">
        <f>IF(LEFT(VLOOKUP($A225,Infrastructure!$A$13:$E$74,5,0),21)='Auto Responses'!$A$32,'Auto Responses'!$A$33,VLOOKUP($A225,Infrastructure!$A$13:$E$74,4,0))&amp;""</f>
        <v>Dynamic Application Security Testing is performed externally against every release candidate as a release gate, so all released versions are covered. Infrastructure vulnerability scanning runs continuously across the platform and is reviewed at least monthly; for cloud infrastructure, scanning is conducted against a representative sample of environments, since the use of Infrastructure as Code provides an acceptable level of certainty that environments are identically configured. In addition, an independent manual penetration test is conducted at least annually by a CREST-certified third-party firm covering application, API and infrastructure layers. The penetration test summary report is available on request with a cover letter from Preservica's Chief Information Security Officer; existing customers may request it directly and prospective customers will be asked to sign a non-disclosure agreement first. Requests should be sent to Information.Security@preservica.com. Preservica also subscribes to threat intelligence and vulnerability feeds and draws on software vendors, trusted third parties, open-source intelligence, customer feedback and information security communities as part of its threat management capability.</v>
      </c>
      <c r="E225" s="326" t="str">
        <f>VLOOKUP($A225,Infrastructure!$A$13:$E$74,5,0)&amp;""</f>
        <v>Describe your external application vulnerability scanning strategy.</v>
      </c>
      <c r="F225" s="191"/>
      <c r="G225" s="30" t="str">
        <f>VLOOKUP($A225,Questions!$A$2:$X$333,21,0)&amp;""</f>
        <v>Yes</v>
      </c>
      <c r="H225" s="181"/>
      <c r="I225" s="45" t="str">
        <f>VLOOKUP($A225,Questions!$A$2:$X$333,23,0)&amp;""</f>
        <v>Minor Importance</v>
      </c>
      <c r="J225" s="181"/>
      <c r="K225" s="49" t="b">
        <v>0</v>
      </c>
      <c r="L225" s="1"/>
    </row>
    <row r="226" spans="1:12" s="1" customFormat="1" ht="17.5" x14ac:dyDescent="0.25">
      <c r="A226" s="63" t="str">
        <f>VLOOKUP(LEFT($A227,4),'Auto Responses'!$N$4:$O$38,2,0)&amp;""</f>
        <v xml:space="preserve"> IT Accessibility</v>
      </c>
      <c r="B226" s="22"/>
      <c r="C226" s="31"/>
      <c r="D226" s="31"/>
      <c r="E226" s="327"/>
      <c r="F226" s="128" t="s">
        <v>632</v>
      </c>
      <c r="G226" s="331" t="s">
        <v>627</v>
      </c>
      <c r="H226" s="331" t="s">
        <v>628</v>
      </c>
      <c r="I226" s="331" t="s">
        <v>629</v>
      </c>
      <c r="J226" s="331" t="s">
        <v>630</v>
      </c>
      <c r="K226" s="331" t="s">
        <v>631</v>
      </c>
    </row>
    <row r="227" spans="1:12" s="29" customFormat="1" ht="15" x14ac:dyDescent="0.25">
      <c r="A227" s="19" t="str">
        <f>'IT Accessibility'!$A$20</f>
        <v>ITAC-01</v>
      </c>
      <c r="B227" s="20" t="str">
        <f>VLOOKUP($A227,'IT Accessibility'!$A$13:$E$37,2,0)&amp;""</f>
        <v>Solution Provider Accessibility Contact Name</v>
      </c>
      <c r="C227" s="301" t="str">
        <f>VLOOKUP($A227,'IT Accessibility'!$A$13:$E$37,3,0)&amp;""</f>
        <v>Product Management</v>
      </c>
      <c r="D227" s="302" t="str">
        <f>IF(LEFT(VLOOKUP($A227,'IT Accessibility'!$A$13:$E$37,5,0),21)='Auto Responses'!$A$32,'Auto Responses'!$A$33,VLOOKUP($A227,'IT Accessibility'!$A$13:$E$37,4,0))&amp;""</f>
        <v/>
      </c>
      <c r="E227" s="329" t="str">
        <f>VLOOKUP($A227,'IT Accessibility'!$A$13:$E$37,5,0)&amp;""</f>
        <v/>
      </c>
      <c r="F227" s="191"/>
      <c r="G227" s="30" t="str">
        <f>VLOOKUP($A227,Questions!$A$2:$X$333,21,0)&amp;""</f>
        <v>Not scored</v>
      </c>
      <c r="H227" s="181"/>
      <c r="I227" s="45" t="str">
        <f>VLOOKUP($A227,Questions!$A$2:$X$333,23,0)&amp;""</f>
        <v/>
      </c>
      <c r="J227" s="181"/>
      <c r="K227" s="48" t="b">
        <v>0</v>
      </c>
      <c r="L227" s="1"/>
    </row>
    <row r="228" spans="1:12" s="29" customFormat="1" ht="15" x14ac:dyDescent="0.25">
      <c r="A228" s="19" t="str">
        <f>'IT Accessibility'!$A$21</f>
        <v>ITAC-02</v>
      </c>
      <c r="B228" s="20" t="str">
        <f>VLOOKUP($A228,'IT Accessibility'!$A$13:$E$37,2,0)&amp;""</f>
        <v>Solution Provider Accessibility Contact Title</v>
      </c>
      <c r="C228" s="301" t="str">
        <f>VLOOKUP($A228,'IT Accessibility'!$A$13:$E$37,3,0)&amp;""</f>
        <v>Product Management</v>
      </c>
      <c r="D228" s="302" t="str">
        <f>IF(LEFT(VLOOKUP($A228,'IT Accessibility'!$A$13:$E$37,5,0),21)='Auto Responses'!$A$32,'Auto Responses'!$A$33,VLOOKUP($A228,'IT Accessibility'!$A$13:$E$37,4,0))&amp;""</f>
        <v/>
      </c>
      <c r="E228" s="329" t="str">
        <f>VLOOKUP($A228,'IT Accessibility'!$A$13:$E$37,5,0)&amp;""</f>
        <v/>
      </c>
      <c r="F228" s="191"/>
      <c r="G228" s="30" t="str">
        <f>VLOOKUP($A228,Questions!$A$2:$X$333,21,0)&amp;""</f>
        <v>Not scored</v>
      </c>
      <c r="H228" s="181"/>
      <c r="I228" s="45" t="str">
        <f>VLOOKUP($A228,Questions!$A$2:$X$333,23,0)&amp;""</f>
        <v/>
      </c>
      <c r="J228" s="181"/>
      <c r="K228" s="48" t="b">
        <v>0</v>
      </c>
      <c r="L228" s="1"/>
    </row>
    <row r="229" spans="1:12" s="29" customFormat="1" ht="30" x14ac:dyDescent="0.25">
      <c r="A229" s="19" t="str">
        <f>'IT Accessibility'!$A$22</f>
        <v>ITAC-03</v>
      </c>
      <c r="B229" s="20" t="str">
        <f>VLOOKUP($A229,'IT Accessibility'!$A$13:$E$37,2,0)&amp;""</f>
        <v>Solution Provider Accessibility Contact Email</v>
      </c>
      <c r="C229" s="301" t="str">
        <f>VLOOKUP($A229,'IT Accessibility'!$A$13:$E$37,3,0)&amp;""</f>
        <v>accessibility@preservica.com</v>
      </c>
      <c r="D229" s="302" t="str">
        <f>IF(LEFT(VLOOKUP($A229,'IT Accessibility'!$A$13:$E$37,5,0),21)='Auto Responses'!$A$32,'Auto Responses'!$A$33,VLOOKUP($A229,'IT Accessibility'!$A$13:$E$37,4,0))&amp;""</f>
        <v/>
      </c>
      <c r="E229" s="329" t="str">
        <f>VLOOKUP($A229,'IT Accessibility'!$A$13:$E$37,5,0)&amp;""</f>
        <v/>
      </c>
      <c r="F229" s="191"/>
      <c r="G229" s="30" t="str">
        <f>VLOOKUP($A229,Questions!$A$2:$X$333,21,0)&amp;""</f>
        <v>Not scored</v>
      </c>
      <c r="H229" s="181"/>
      <c r="I229" s="45" t="str">
        <f>VLOOKUP($A229,Questions!$A$2:$X$333,23,0)&amp;""</f>
        <v/>
      </c>
      <c r="J229" s="181"/>
      <c r="K229" s="48" t="b">
        <v>0</v>
      </c>
      <c r="L229" s="1"/>
    </row>
    <row r="230" spans="1:12" s="29" customFormat="1" ht="15" x14ac:dyDescent="0.25">
      <c r="A230" s="19" t="str">
        <f>'IT Accessibility'!$A$23</f>
        <v>ITAC-04</v>
      </c>
      <c r="B230" s="20" t="str">
        <f>VLOOKUP($A230,'IT Accessibility'!$A$13:$E$37,2,0)&amp;""</f>
        <v>Solution Provider Accessibility Contact Phone Number</v>
      </c>
      <c r="C230" s="301" t="str">
        <f>VLOOKUP($A230,'IT Accessibility'!$A$13:$E$37,3,0)&amp;""</f>
        <v>N/A</v>
      </c>
      <c r="D230" s="302" t="str">
        <f>IF(LEFT(VLOOKUP($A230,'IT Accessibility'!$A$13:$E$37,5,0),21)='Auto Responses'!$A$32,'Auto Responses'!$A$33,VLOOKUP($A230,'IT Accessibility'!$A$13:$E$37,4,0))&amp;""</f>
        <v/>
      </c>
      <c r="E230" s="329" t="str">
        <f>VLOOKUP($A230,'IT Accessibility'!$A$13:$E$37,5,0)&amp;""</f>
        <v/>
      </c>
      <c r="F230" s="191"/>
      <c r="G230" s="30" t="str">
        <f>VLOOKUP($A230,Questions!$A$2:$X$333,21,0)&amp;""</f>
        <v>Not scored</v>
      </c>
      <c r="H230" s="181"/>
      <c r="I230" s="45" t="str">
        <f>VLOOKUP($A230,Questions!$A$2:$X$333,23,0)&amp;""</f>
        <v/>
      </c>
      <c r="J230" s="181"/>
      <c r="K230" s="48" t="b">
        <v>0</v>
      </c>
      <c r="L230" s="1"/>
    </row>
    <row r="231" spans="1:12" s="29" customFormat="1" ht="120" x14ac:dyDescent="0.25">
      <c r="A231" s="19" t="str">
        <f>'IT Accessibility'!$A$24</f>
        <v>ITAC-05</v>
      </c>
      <c r="B231" s="20" t="str">
        <f>VLOOKUP($A231,'IT Accessibility'!$A$13:$E$37,2,0)&amp;""</f>
        <v>Web Link to Accessibility Statement or VPAT</v>
      </c>
      <c r="C231" s="301" t="str">
        <f>VLOOKUP($A231,'IT Accessibility'!$A$13:$E$37,3,0)&amp;""</f>
        <v>Preservica's accessibility statement and current VPAT are published at Preservica's Trust Center: https://preservica.com/trust-center</v>
      </c>
      <c r="D231" s="302" t="str">
        <f>IF(LEFT(VLOOKUP($A231,'IT Accessibility'!$A$13:$E$37,5,0),21)='Auto Responses'!$A$32,'Auto Responses'!$A$33,VLOOKUP($A231,'IT Accessibility'!$A$13:$E$37,4,0))&amp;""</f>
        <v/>
      </c>
      <c r="E231" s="329" t="str">
        <f>VLOOKUP($A231,'IT Accessibility'!$A$13:$E$37,5,0)&amp;""</f>
        <v>VPAT can also be added as an attachment</v>
      </c>
      <c r="F231" s="191"/>
      <c r="G231" s="30" t="str">
        <f>VLOOKUP($A231,Questions!$A$2:$X$333,21,0)&amp;""</f>
        <v>Not scored</v>
      </c>
      <c r="H231" s="181"/>
      <c r="I231" s="45" t="str">
        <f>VLOOKUP($A231,Questions!$A$2:$X$333,23,0)&amp;""</f>
        <v/>
      </c>
      <c r="J231" s="181"/>
      <c r="K231" s="48" t="b">
        <v>0</v>
      </c>
      <c r="L231" s="1"/>
    </row>
    <row r="232" spans="1:12" s="29" customFormat="1" ht="150" x14ac:dyDescent="0.25">
      <c r="A232" s="19" t="str">
        <f>'IT Accessibility'!$A$25</f>
        <v>ITAC-06</v>
      </c>
      <c r="B232" s="20" t="str">
        <f>VLOOKUP($A232,'IT Accessibility'!$A$13:$E$37,2,0)&amp;""</f>
        <v>Has a VPAT or ACR been created or updated for the solution and version under consideration within the past 12 months?*</v>
      </c>
      <c r="C232" s="45" t="str">
        <f>VLOOKUP($A232,'IT Accessibility'!$A$13:$E$37,3,0)&amp;""</f>
        <v>Yes</v>
      </c>
      <c r="D232" s="34" t="str">
        <f>IF(LEFT(VLOOKUP($A232,'IT Accessibility'!$A$13:$E$37,5,0),21)='Auto Responses'!$A$32,'Auto Responses'!$A$33,VLOOKUP($A232,'IT Accessibility'!$A$13:$E$37,4,0))&amp;""</f>
        <v>The current report was completed 2025-07-24. This is updated after each update to the SaaS Platform.
https://preservica.com/preservica-vpat-wcag-508-edition-report-access-request</v>
      </c>
      <c r="E232" s="329" t="str">
        <f>VLOOKUP($A232,'IT Accessibility'!$A$13:$E$37,5,0)&amp;""</f>
        <v>State the date the VPAT was completed. Include this VPAT in your submission and/or link to its web location.</v>
      </c>
      <c r="F232" s="191"/>
      <c r="G232" s="30" t="str">
        <f>VLOOKUP($A232,Questions!$A$2:$X$333,21,0)&amp;""</f>
        <v>Yes</v>
      </c>
      <c r="H232" s="181"/>
      <c r="I232" s="45" t="str">
        <f>VLOOKUP($A232,Questions!$A$2:$X$333,23,0)&amp;""</f>
        <v>Critical Importance</v>
      </c>
      <c r="J232" s="181"/>
      <c r="K232" s="48" t="b">
        <v>0</v>
      </c>
      <c r="L232" s="1"/>
    </row>
    <row r="233" spans="1:12" s="29" customFormat="1" ht="27" x14ac:dyDescent="0.25">
      <c r="A233" s="19" t="str">
        <f>'IT Accessibility'!$A$26</f>
        <v>ITAC-07</v>
      </c>
      <c r="B233" s="20" t="str">
        <f>VLOOKUP($A233,'IT Accessibility'!$A$13:$E$37,2,0)&amp;""</f>
        <v>Will your company agree to meet your stated accessibility standard or WCAG 2.1 AA as part of your contractual agreement for the solution?*</v>
      </c>
      <c r="C233" s="45" t="str">
        <f>VLOOKUP($A233,'IT Accessibility'!$A$13:$E$37,3,0)&amp;""</f>
        <v>Yes</v>
      </c>
      <c r="D233" s="34" t="str">
        <f>IF(LEFT(VLOOKUP($A233,'IT Accessibility'!$A$13:$E$37,5,0),21)='Auto Responses'!$A$32,'Auto Responses'!$A$33,VLOOKUP($A233,'IT Accessibility'!$A$13:$E$37,4,0))&amp;""</f>
        <v/>
      </c>
      <c r="E233" s="329" t="str">
        <f>VLOOKUP($A233,'IT Accessibility'!$A$13:$E$37,5,0)&amp;""</f>
        <v/>
      </c>
      <c r="F233" s="191"/>
      <c r="G233" s="30" t="str">
        <f>VLOOKUP($A233,Questions!$A$2:$X$333,21,0)&amp;""</f>
        <v>Yes</v>
      </c>
      <c r="H233" s="181"/>
      <c r="I233" s="45" t="str">
        <f>VLOOKUP($A233,Questions!$A$2:$X$333,23,0)&amp;""</f>
        <v>Critical Importance</v>
      </c>
      <c r="J233" s="181"/>
      <c r="K233" s="48" t="b">
        <v>0</v>
      </c>
      <c r="L233" s="1"/>
    </row>
    <row r="234" spans="1:12" s="29" customFormat="1" ht="255" x14ac:dyDescent="0.25">
      <c r="A234" s="19" t="str">
        <f>'IT Accessibility'!$A$27</f>
        <v>ITAC-08</v>
      </c>
      <c r="B234" s="20" t="str">
        <f>VLOOKUP($A234,'IT Accessibility'!$A$13:$E$37,2,0)&amp;""</f>
        <v>Does the solution substantially conform to WCAG 2.1 AA?*</v>
      </c>
      <c r="C234" s="45" t="str">
        <f>VLOOKUP($A234,'IT Accessibility'!$A$13:$E$37,3,0)&amp;""</f>
        <v>Yes</v>
      </c>
      <c r="D234" s="34" t="str">
        <f>IF(LEFT(VLOOKUP($A234,'IT Accessibility'!$A$13:$E$37,5,0),21)='Auto Responses'!$A$32,'Auto Responses'!$A$33,VLOOKUP($A234,'IT Accessibility'!$A$13:$E$37,4,0))&amp;""</f>
        <v/>
      </c>
      <c r="E234" s="329" t="str">
        <f>VLOOKUP($A234,'IT Accessibility'!$A$13:$E$37,5,0)&amp;""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34" s="191"/>
      <c r="G234" s="30" t="str">
        <f>VLOOKUP($A234,Questions!$A$2:$X$333,21,0)&amp;""</f>
        <v>Yes</v>
      </c>
      <c r="H234" s="181"/>
      <c r="I234" s="45" t="str">
        <f>VLOOKUP($A234,Questions!$A$2:$X$333,23,0)&amp;""</f>
        <v>Critical Importance</v>
      </c>
      <c r="J234" s="181"/>
      <c r="K234" s="48" t="b">
        <v>0</v>
      </c>
      <c r="L234" s="1"/>
    </row>
    <row r="235" spans="1:12" s="29" customFormat="1" ht="285" x14ac:dyDescent="0.25">
      <c r="A235" s="19" t="str">
        <f>'IT Accessibility'!$A$28</f>
        <v>ITAC-09</v>
      </c>
      <c r="B235" s="20" t="str">
        <f>VLOOKUP($A235,'IT Accessibility'!$A$13:$E$37,2,0)&amp;""</f>
        <v>Do you have a documented and implemented process for reporting and tracking accessibility issues?*</v>
      </c>
      <c r="C235" s="45" t="str">
        <f>VLOOKUP($A235,'IT Accessibility'!$A$13:$E$37,3,0)&amp;""</f>
        <v>Yes</v>
      </c>
      <c r="D235" s="34" t="str">
        <f>IF(LEFT(VLOOKUP($A235,'IT Accessibility'!$A$13:$E$37,5,0),21)='Auto Responses'!$A$32,'Auto Responses'!$A$33,VLOOKUP($A235,'IT Accessibility'!$A$13:$E$37,4,0))&amp;""</f>
        <v>Accessibility issues are reported and tracked through Preservica's standard product issue management process, using the same intake, triage, prioritisation and resolution workflow applied to all other product issues, with accessibility items explicitly identified for tracking. Accessibility issues and enquiries can also be raised directly with Preservica at accessibility@preservica.com.</v>
      </c>
      <c r="E235" s="329" t="str">
        <f>VLOOKUP($A235,'IT Accessibility'!$A$13:$E$37,5,0)&amp;""</f>
        <v>Describe the process and any recent examples of fixes as a result of the process.</v>
      </c>
      <c r="F235" s="191"/>
      <c r="G235" s="30" t="str">
        <f>VLOOKUP($A235,Questions!$A$2:$X$333,21,0)&amp;""</f>
        <v>Yes</v>
      </c>
      <c r="H235" s="181"/>
      <c r="I235" s="45" t="str">
        <f>VLOOKUP($A235,Questions!$A$2:$X$333,23,0)&amp;""</f>
        <v>Critical Importance</v>
      </c>
      <c r="J235" s="181"/>
      <c r="K235" s="48" t="b">
        <v>0</v>
      </c>
      <c r="L235" s="1"/>
    </row>
    <row r="236" spans="1:12" s="29" customFormat="1" ht="300" x14ac:dyDescent="0.25">
      <c r="A236" s="19" t="str">
        <f>'IT Accessibility'!$A$29</f>
        <v>ITAC-10</v>
      </c>
      <c r="B236" s="20" t="str">
        <f>VLOOKUP($A236,'IT Accessibility'!$A$13:$E$37,2,0)&amp;""</f>
        <v>Do you have documentation to support the accessibility features of your solution?</v>
      </c>
      <c r="C236" s="45" t="str">
        <f>VLOOKUP($A236,'IT Accessibility'!$A$13:$E$37,3,0)&amp;""</f>
        <v>Yes</v>
      </c>
      <c r="D236" s="34" t="str">
        <f>IF(LEFT(VLOOKUP($A236,'IT Accessibility'!$A$13:$E$37,5,0),21)='Auto Responses'!$A$32,'Auto Responses'!$A$33,VLOOKUP($A236,'IT Accessibility'!$A$13:$E$37,4,0))&amp;""</f>
        <v>Preservica publishes an accessibility statement and a current VPAT/Accessibility Conformance Report describing the accessibility characteristics of the solution, both available at Preservica's Trust Center: https://preservica.com/trust-center. Product documentation and Preservica Academy training material additionally cover accessibility-related interface options available to users.</v>
      </c>
      <c r="E236" s="329" t="str">
        <f>VLOOKUP($A236,'IT Accessibility'!$A$13:$E$37,5,0)&amp;""</f>
        <v>Provide examples with links where possible.</v>
      </c>
      <c r="F236" s="191"/>
      <c r="G236" s="30" t="str">
        <f>VLOOKUP($A236,Questions!$A$2:$X$333,21,0)&amp;""</f>
        <v>Yes</v>
      </c>
      <c r="H236" s="181"/>
      <c r="I236" s="45" t="str">
        <f>VLOOKUP($A236,Questions!$A$2:$X$333,23,0)&amp;""</f>
        <v>Standard Importance</v>
      </c>
      <c r="J236" s="181"/>
      <c r="K236" s="48" t="b">
        <v>0</v>
      </c>
      <c r="L236" s="1"/>
    </row>
    <row r="237" spans="1:12" s="29" customFormat="1" ht="75" x14ac:dyDescent="0.25">
      <c r="A237" s="19" t="str">
        <f>'IT Accessibility'!$A$30</f>
        <v>ITAC-11</v>
      </c>
      <c r="B237" s="20" t="str">
        <f>VLOOKUP($A237,'IT Accessibility'!$A$13:$E$37,2,0)&amp;""</f>
        <v>Has a third-party expert conducted an audit of the most recent version of your solution?</v>
      </c>
      <c r="C237" s="45" t="str">
        <f>VLOOKUP($A237,'IT Accessibility'!$A$13:$E$37,3,0)&amp;""</f>
        <v>No</v>
      </c>
      <c r="D237" s="34" t="str">
        <f>IF(LEFT(VLOOKUP($A237,'IT Accessibility'!$A$13:$E$37,5,0),21)='Auto Responses'!$A$32,'Auto Responses'!$A$33,VLOOKUP($A237,'IT Accessibility'!$A$13:$E$37,4,0))&amp;""</f>
        <v>No plans at this time.</v>
      </c>
      <c r="E237" s="329" t="str">
        <f>VLOOKUP($A237,'IT Accessibility'!$A$13:$E$37,5,0)&amp;""</f>
        <v>Please provide plans (when and by whom) of any planned audit, or a rationale if no third-party audit is planned.</v>
      </c>
      <c r="F237" s="191"/>
      <c r="G237" s="30" t="str">
        <f>VLOOKUP($A237,Questions!$A$2:$X$333,21,0)&amp;""</f>
        <v>Yes</v>
      </c>
      <c r="H237" s="181"/>
      <c r="I237" s="45" t="str">
        <f>VLOOKUP($A237,Questions!$A$2:$X$333,23,0)&amp;""</f>
        <v>Standard Importance</v>
      </c>
      <c r="J237" s="181"/>
      <c r="K237" s="48" t="b">
        <v>0</v>
      </c>
      <c r="L237" s="1"/>
    </row>
    <row r="238" spans="1:12" s="29" customFormat="1" ht="105" x14ac:dyDescent="0.25">
      <c r="A238" s="19" t="str">
        <f>'IT Accessibility'!$A$31</f>
        <v>ITAC-12</v>
      </c>
      <c r="B238" s="20" t="str">
        <f>VLOOKUP($A238,'IT Accessibility'!$A$13:$E$37,2,0)&amp;""</f>
        <v>Do you have a documented and implemented process for verifying accessibility conformance?</v>
      </c>
      <c r="C238" s="45" t="str">
        <f>VLOOKUP($A238,'IT Accessibility'!$A$13:$E$37,3,0)&amp;""</f>
        <v>Yes</v>
      </c>
      <c r="D238" s="34" t="str">
        <f>IF(LEFT(VLOOKUP($A238,'IT Accessibility'!$A$13:$E$37,5,0),21)='Auto Responses'!$A$32,'Auto Responses'!$A$33,VLOOKUP($A238,'IT Accessibility'!$A$13:$E$37,4,0))&amp;""</f>
        <v>Processes for verifying Accessibility conformance has been documented and implemented across product, development, and test teams.</v>
      </c>
      <c r="E238" s="329" t="str">
        <f>VLOOKUP($A238,'IT Accessibility'!$A$13:$E$37,5,0)&amp;""</f>
        <v>Describe your processes and methodologies for validating accessibility conformance.</v>
      </c>
      <c r="F238" s="191"/>
      <c r="G238" s="30" t="str">
        <f>VLOOKUP($A238,Questions!$A$2:$X$333,21,0)&amp;""</f>
        <v>Yes</v>
      </c>
      <c r="H238" s="181"/>
      <c r="I238" s="45" t="str">
        <f>VLOOKUP($A238,Questions!$A$2:$X$333,23,0)&amp;""</f>
        <v>Standard Importance</v>
      </c>
      <c r="J238" s="181"/>
      <c r="K238" s="48" t="b">
        <v>0</v>
      </c>
      <c r="L238" s="1"/>
    </row>
    <row r="239" spans="1:12" s="29" customFormat="1" ht="285" x14ac:dyDescent="0.25">
      <c r="A239" s="19" t="str">
        <f>'IT Accessibility'!$A$32</f>
        <v>ITAC-13</v>
      </c>
      <c r="B239" s="20" t="str">
        <f>VLOOKUP($A239,'IT Accessibility'!$A$13:$E$37,2,0)&amp;""</f>
        <v>Have you adopted a technical or legal standard of conformance for the solution?</v>
      </c>
      <c r="C239" s="45" t="str">
        <f>VLOOKUP($A239,'IT Accessibility'!$A$13:$E$37,3,0)&amp;""</f>
        <v>Yes</v>
      </c>
      <c r="D239" s="34" t="str">
        <f>IF(LEFT(VLOOKUP($A239,'IT Accessibility'!$A$13:$E$37,5,0),21)='Auto Responses'!$A$32,'Auto Responses'!$A$33,VLOOKUP($A239,'IT Accessibility'!$A$13:$E$37,4,0))&amp;""</f>
        <v>Preservica has adopted the Web Content Accessibility Guidelines (WCAG) 2.2 Level AA as its accessibility conformance standard. Preservica's accessibility statement and current VPAT/Accessibility Conformance Report, which record conformance against that standard, are published at Preservica's Trust Center: https://preservica.com/trust-center</v>
      </c>
      <c r="E239" s="329" t="str">
        <f>VLOOKUP($A239,'IT Accessibility'!$A$13:$E$37,5,0)&amp;""</f>
        <v>Indicate which primary standards and all additional standards the solution meets.</v>
      </c>
      <c r="F239" s="191"/>
      <c r="G239" s="30" t="str">
        <f>VLOOKUP($A239,Questions!$A$2:$X$333,21,0)&amp;""</f>
        <v>Yes</v>
      </c>
      <c r="H239" s="181"/>
      <c r="I239" s="45" t="str">
        <f>VLOOKUP($A239,Questions!$A$2:$X$333,23,0)&amp;""</f>
        <v>Standard Importance</v>
      </c>
      <c r="J239" s="181"/>
      <c r="K239" s="48" t="b">
        <v>0</v>
      </c>
      <c r="L239" s="1"/>
    </row>
    <row r="240" spans="1:12" s="29" customFormat="1" ht="120" x14ac:dyDescent="0.25">
      <c r="A240" s="19" t="str">
        <f>'IT Accessibility'!$A$33</f>
        <v>ITAC-14</v>
      </c>
      <c r="B240" s="20" t="str">
        <f>VLOOKUP($A240,'IT Accessibility'!$A$13:$E$37,2,0)&amp;""</f>
        <v>Can you provide a current, detailed accessibility roadmap with delivery timelines?</v>
      </c>
      <c r="C240" s="45" t="str">
        <f>VLOOKUP($A240,'IT Accessibility'!$A$13:$E$37,3,0)&amp;""</f>
        <v>Yes</v>
      </c>
      <c r="D240" s="34" t="str">
        <f>IF(LEFT(VLOOKUP($A240,'IT Accessibility'!$A$13:$E$37,5,0),21)='Auto Responses'!$A$32,'Auto Responses'!$A$33,VLOOKUP($A240,'IT Accessibility'!$A$13:$E$37,4,0))&amp;""</f>
        <v>https://preservica.com/accessibility</v>
      </c>
      <c r="E240" s="329" t="str">
        <f>VLOOKUP($A240,'IT Accessibility'!$A$13:$E$37,5,0)&amp;""</f>
        <v>Comment on how far into the future the roadmap extends. Provide evidence (including links) of having delivered upon the accessibility roadmap in the past.</v>
      </c>
      <c r="F240" s="191"/>
      <c r="G240" s="30" t="str">
        <f>VLOOKUP($A240,Questions!$A$2:$X$333,21,0)&amp;""</f>
        <v>Yes</v>
      </c>
      <c r="H240" s="181"/>
      <c r="I240" s="45" t="str">
        <f>VLOOKUP($A240,Questions!$A$2:$X$333,23,0)&amp;""</f>
        <v>Standard Importance</v>
      </c>
      <c r="J240" s="181"/>
      <c r="K240" s="48" t="b">
        <v>0</v>
      </c>
      <c r="L240" s="1"/>
    </row>
    <row r="241" spans="1:12" s="29" customFormat="1" ht="210" x14ac:dyDescent="0.25">
      <c r="A241" s="19" t="str">
        <f>'IT Accessibility'!$A$34</f>
        <v>ITAC-15</v>
      </c>
      <c r="B241" s="20" t="str">
        <f>VLOOKUP($A241,'IT Accessibility'!$A$13:$E$37,2,0)&amp;""</f>
        <v>Do you expect your staff to maintain a current skill set in IT accessibility?</v>
      </c>
      <c r="C241" s="45" t="str">
        <f>VLOOKUP($A241,'IT Accessibility'!$A$13:$E$37,3,0)&amp;""</f>
        <v>Yes</v>
      </c>
      <c r="D241" s="34" t="str">
        <f>IF(LEFT(VLOOKUP($A241,'IT Accessibility'!$A$13:$E$37,5,0),21)='Auto Responses'!$A$32,'Auto Responses'!$A$33,VLOOKUP($A241,'IT Accessibility'!$A$13:$E$37,4,0))&amp;""</f>
        <v>We provide internal training on the importance of Accessibility.</v>
      </c>
      <c r="E241" s="329" t="str">
        <f>VLOOKUP($A241,'IT Accessibility'!$A$13:$E$37,5,0)&amp;""</f>
        <v>Provide any further relevant information about how expertise is maintained; include any accessibility certifications staff may hold (e.g., IAAP WAS &lt;https://www.accessibilityassociation.org/certifications&gt; or DHS Trusted Tester &lt;https://section508.gov/test/trusted-tester&gt;).</v>
      </c>
      <c r="F241" s="191"/>
      <c r="G241" s="30" t="str">
        <f>VLOOKUP($A241,Questions!$A$2:$X$333,21,0)&amp;""</f>
        <v>Yes</v>
      </c>
      <c r="H241" s="181"/>
      <c r="I241" s="45" t="str">
        <f>VLOOKUP($A241,Questions!$A$2:$X$333,23,0)&amp;""</f>
        <v>Standard Importance</v>
      </c>
      <c r="J241" s="181"/>
      <c r="K241" s="48" t="b">
        <v>0</v>
      </c>
      <c r="L241" s="1"/>
    </row>
    <row r="242" spans="1:12" s="29" customFormat="1" ht="409.5" x14ac:dyDescent="0.25">
      <c r="A242" s="19" t="str">
        <f>'IT Accessibility'!$A$35</f>
        <v>ITAC-16</v>
      </c>
      <c r="B242" s="20" t="str">
        <f>VLOOKUP($A242,'IT Accessibility'!$A$13:$E$37,2,0)&amp;""</f>
        <v>Do you have documented processes and procedures for implementing accessibility into your development lifecycle?</v>
      </c>
      <c r="C242" s="45" t="str">
        <f>VLOOKUP($A242,'IT Accessibility'!$A$13:$E$37,3,0)&amp;""</f>
        <v>Yes</v>
      </c>
      <c r="D242" s="34" t="str">
        <f>IF(LEFT(VLOOKUP($A242,'IT Accessibility'!$A$13:$E$37,5,0),21)='Auto Responses'!$A$32,'Auto Responses'!$A$33,VLOOKUP($A242,'IT Accessibility'!$A$13:$E$37,4,0))&amp;""</f>
        <v>Preservica operates a documented secure development lifecycle covering requirements specification, system design, development, testing and deployment, applicable to all personnel performing development, testing or QA on released products. System designs are peer-reviewed at regular Technical Review meetings attended by senior engineers, DevOps and Operations personnel and an Information Security representative, and code changes require second-person review and approval before acceptance into the main branch. Accessibility requirements are handled within this lifecycle, with accessibility items explicitly identified and tracked through to release.</v>
      </c>
      <c r="E242" s="329" t="str">
        <f>VLOOKUP($A242,'IT Accessibility'!$A$13:$E$37,5,0)&amp;""</f>
        <v>Provide further details in Additional Information.</v>
      </c>
      <c r="F242" s="191"/>
      <c r="G242" s="30" t="str">
        <f>VLOOKUP($A242,Questions!$A$2:$X$333,21,0)&amp;""</f>
        <v>Yes</v>
      </c>
      <c r="H242" s="181"/>
      <c r="I242" s="45" t="str">
        <f>VLOOKUP($A242,Questions!$A$2:$X$333,23,0)&amp;""</f>
        <v>Standard Importance</v>
      </c>
      <c r="J242" s="181"/>
      <c r="K242" s="48" t="b">
        <v>0</v>
      </c>
      <c r="L242" s="1"/>
    </row>
    <row r="243" spans="1:12" s="29" customFormat="1" ht="375" x14ac:dyDescent="0.25">
      <c r="A243" s="19" t="str">
        <f>'IT Accessibility'!$A$36</f>
        <v>ITAC-17</v>
      </c>
      <c r="B243" s="20" t="str">
        <f>VLOOKUP($A243,'IT Accessibility'!$A$13:$E$37,2,0)&amp;""</f>
        <v>Can all functions of the application or service be performed using only the keyboard?</v>
      </c>
      <c r="C243" s="45" t="str">
        <f>VLOOKUP($A243,'IT Accessibility'!$A$13:$E$37,3,0)&amp;""</f>
        <v>No</v>
      </c>
      <c r="D243" s="34" t="str">
        <f>IF(LEFT(VLOOKUP($A243,'IT Accessibility'!$A$13:$E$37,5,0),21)='Auto Responses'!$A$32,'Auto Responses'!$A$33,VLOOKUP($A243,'IT Accessibility'!$A$13:$E$37,4,0))&amp;""</f>
        <v>Not all functions can currently be performed using the keyboard alone. Preservica has adopted WCAG 2.2 Level AA as its accessibility conformance standard and is progressively improving keyboard operability towards it; full keyboard operability is a high priority. The current position for each success criterion is recorded in Preservica's VPAT/Accessibility Conformance Report, available at Preservica's Trust Center: https://preservica.com/trust-center</v>
      </c>
      <c r="E243" s="329" t="str">
        <f>VLOOKUP($A243,'IT Accessibility'!$A$13:$E$37,5,0)&amp;""</f>
        <v>Indicate a plan to test the solution; develop a roadmap for keyboard accessibility or any further context.</v>
      </c>
      <c r="F243" s="191"/>
      <c r="G243" s="30" t="str">
        <f>VLOOKUP($A243,Questions!$A$2:$X$333,21,0)&amp;""</f>
        <v>Yes</v>
      </c>
      <c r="H243" s="181"/>
      <c r="I243" s="45" t="str">
        <f>VLOOKUP($A243,Questions!$A$2:$X$333,23,0)&amp;""</f>
        <v>Standard Importance</v>
      </c>
      <c r="J243" s="181"/>
      <c r="K243" s="48" t="b">
        <v>0</v>
      </c>
      <c r="L243" s="1"/>
    </row>
    <row r="244" spans="1:12" s="29" customFormat="1" ht="225.5" thickBot="1" x14ac:dyDescent="0.3">
      <c r="A244" s="19" t="str">
        <f>'IT Accessibility'!$A$37</f>
        <v>ITAC-18</v>
      </c>
      <c r="B244" s="20" t="str">
        <f>VLOOKUP($A244,'IT Accessibility'!$A$13:$E$37,2,0)&amp;""</f>
        <v>Does your product rely on activating a special "accessibility mode," a "lite version," or using an alternate interface (including “overlay” or AI-based alternates)  for accessibility purposes?</v>
      </c>
      <c r="C244" s="45" t="str">
        <f>VLOOKUP($A244,'IT Accessibility'!$A$13:$E$37,3,0)&amp;""</f>
        <v>No</v>
      </c>
      <c r="D244" s="34" t="str">
        <f>IF(LEFT(VLOOKUP($A244,'IT Accessibility'!$A$13:$E$37,5,0),21)='Auto Responses'!$A$32,'Auto Responses'!$A$33,VLOOKUP($A244,'IT Accessibility'!$A$13:$E$37,4,0))&amp;""</f>
        <v/>
      </c>
      <c r="E244" s="329" t="str">
        <f>VLOOKUP($A244,'IT Accessibility'!$A$13:$E$37,5,0)&amp;""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244" s="191"/>
      <c r="G244" s="30" t="str">
        <f>VLOOKUP($A244,Questions!$A$2:$X$333,21,0)&amp;""</f>
        <v>No</v>
      </c>
      <c r="H244" s="181"/>
      <c r="I244" s="45" t="str">
        <f>VLOOKUP($A244,Questions!$A$2:$X$333,23,0)&amp;""</f>
        <v>Standard Importance</v>
      </c>
      <c r="J244" s="181"/>
      <c r="K244" s="49" t="b">
        <v>0</v>
      </c>
      <c r="L244" s="1"/>
    </row>
    <row r="245" spans="1:12" s="1" customFormat="1" ht="17.5" x14ac:dyDescent="0.25">
      <c r="A245" s="63" t="str">
        <f>VLOOKUP(LEFT($A246,4),'Auto Responses'!$N$4:$O$38,2,0)&amp;""</f>
        <v xml:space="preserve"> Consulting Services</v>
      </c>
      <c r="B245" s="22"/>
      <c r="C245" s="31"/>
      <c r="D245" s="31"/>
      <c r="E245" s="327"/>
      <c r="F245" s="128" t="s">
        <v>632</v>
      </c>
      <c r="G245" s="331" t="s">
        <v>627</v>
      </c>
      <c r="H245" s="331" t="s">
        <v>628</v>
      </c>
      <c r="I245" s="331" t="s">
        <v>629</v>
      </c>
      <c r="J245" s="331" t="s">
        <v>630</v>
      </c>
      <c r="K245" s="331" t="s">
        <v>631</v>
      </c>
    </row>
    <row r="246" spans="1:12" s="29" customFormat="1" ht="405" x14ac:dyDescent="0.25">
      <c r="A246" s="19" t="str">
        <f>'Case-Specific'!$A$23</f>
        <v>CONS-01</v>
      </c>
      <c r="B246" s="20" t="str">
        <f>VLOOKUP($A246,'Case-Specific'!$A$13:$E$85,2,0)&amp;""</f>
        <v>Will the consultant require access to the institution's network resources?*</v>
      </c>
      <c r="C246" s="45" t="str">
        <f>VLOOKUP($A246,'Case-Specific'!$A$13:$E$85,3,0)&amp;""</f>
        <v>No</v>
      </c>
      <c r="D246" s="34" t="str">
        <f>IF(LEFT(VLOOKUP($A246,'Case-Specific'!$A$13:$E$85,5,0),21)='Auto Responses'!$A$32,'Auto Responses'!$A$33,VLOOKUP($A246,'Case-Specific'!$A$13:$E$85,4,0))&amp;""</f>
        <v>Professional Services are delivered against the customer's own Preservica environment; access to the institution's network, systems or infrastructure is not required. Where an engagement requires ongoing access to the customer's Preservica environment, that access is granted by the customer at the start of the engagement, is least-privilege, logged and auditable, and can be withdrawn by the customer at any time. Preservica reviews staff access rights at least every six months and removes them when the business need ends.</v>
      </c>
      <c r="E246" s="326" t="str">
        <f>VLOOKUP($A246,'Case-Specific'!$A$13:$E$85,5,0)&amp;""</f>
        <v/>
      </c>
      <c r="F246" s="191"/>
      <c r="G246" s="30" t="str">
        <f>VLOOKUP($A246,Questions!$A$2:$X$333,21,0)&amp;""</f>
        <v>No</v>
      </c>
      <c r="H246" s="181"/>
      <c r="I246" s="45" t="str">
        <f>VLOOKUP($A246,Questions!$A$2:$X$333,23,0)&amp;""</f>
        <v>Critical Importance</v>
      </c>
      <c r="J246" s="181"/>
      <c r="K246" s="48" t="b">
        <v>0</v>
      </c>
      <c r="L246" s="1"/>
    </row>
    <row r="247" spans="1:12" s="29" customFormat="1" ht="409.5" x14ac:dyDescent="0.25">
      <c r="A247" s="19" t="str">
        <f>'Case-Specific'!$A$24</f>
        <v>CONS-02</v>
      </c>
      <c r="B247" s="20" t="str">
        <f>VLOOKUP($A247,'Case-Specific'!$A$13:$E$85,2,0)&amp;""</f>
        <v>Has the consultant received training on (sensitive, HIPAA, PCI, etc.) data handling?*</v>
      </c>
      <c r="C247" s="45" t="str">
        <f>VLOOKUP($A247,'Case-Specific'!$A$13:$E$85,3,0)&amp;""</f>
        <v>Yes</v>
      </c>
      <c r="D247" s="34" t="str">
        <f>IF(LEFT(VLOOKUP($A247,'Case-Specific'!$A$13:$E$85,5,0),21)='Auto Responses'!$A$32,'Auto Responses'!$A$33,VLOOKUP($A247,'Case-Specific'!$A$13:$E$85,4,0))&amp;""</f>
        <v>All Preservica staff, temporary staff, consultants and third parties with access to Preservica or customer information complete mandatory security awareness training during onboarding and at least annually thereafter, with additional training provided following significant security incidents or material regulatory, policy or technology changes. Training covers data classification, information handling, and the secure transmission, storage, retention and disposal of sensitive customer information, alongside phishing and social engineering, acceptable use, and incident and breach reporting procedures. Personnel holding privileged access, or access to customer data, receive additional role-based training on the secure handling, storage, transmission, access, disclosure and disposal of sensitive information, including their responsibilities for breach identification and reporting. Where third parties or consultants are engaged, Preservica requires by contract that their security awareness training is equal to or greater than that required of Preservica employees; where suitable training cannot be verified, they are enrolled in Preservica's own programme. All staff are additionally screened prior to engagement, and staff in Customer Support, Operations, Information Security and Finance complete an annual criminal background check.</v>
      </c>
      <c r="E247" s="326" t="str">
        <f>VLOOKUP($A247,'Case-Specific'!$A$13:$E$85,5,0)&amp;""</f>
        <v/>
      </c>
      <c r="F247" s="191"/>
      <c r="G247" s="30" t="str">
        <f>VLOOKUP($A247,Questions!$A$2:$X$333,21,0)&amp;""</f>
        <v>Yes</v>
      </c>
      <c r="H247" s="181"/>
      <c r="I247" s="45" t="str">
        <f>VLOOKUP($A247,Questions!$A$2:$X$333,23,0)&amp;""</f>
        <v>Critical Importance</v>
      </c>
      <c r="J247" s="181"/>
      <c r="K247" s="48" t="b">
        <v>0</v>
      </c>
      <c r="L247" s="1"/>
    </row>
    <row r="248" spans="1:12" s="29" customFormat="1" ht="409.5" x14ac:dyDescent="0.25">
      <c r="A248" s="19" t="str">
        <f>'Case-Specific'!$A$25</f>
        <v>CONS-03</v>
      </c>
      <c r="B248" s="20" t="str">
        <f>VLOOKUP($A248,'Case-Specific'!$A$13:$E$85,2,0)&amp;""</f>
        <v>Is the data encrypted (at rest) while in the consultant's possession?*</v>
      </c>
      <c r="C248" s="45" t="str">
        <f>VLOOKUP($A248,'Case-Specific'!$A$13:$E$85,3,0)&amp;""</f>
        <v>Yes</v>
      </c>
      <c r="D248" s="34" t="str">
        <f>IF(LEFT(VLOOKUP($A248,'Case-Specific'!$A$13:$E$85,5,0),21)='Auto Responses'!$A$32,'Auto Responses'!$A$33,VLOOKUP($A248,'Case-Specific'!$A$13:$E$85,4,0))&amp;""</f>
        <v>Professional Services engagements are performed within the customer's own Preservica environment, and customer content is not routinely held by Preservica personnel. Where customer content is held on a Preservica endpoint, full-disk encryption is applied in line with industry standards and best practice. Customer data held within the Preservica service is encrypted at rest using AES-256, with key management provided by the underlying cloud platform's key management service; customers on dedicated infrastructure have unique encryption keys that are not shared.</v>
      </c>
      <c r="E248" s="326" t="str">
        <f>VLOOKUP($A248,'Case-Specific'!$A$13:$E$85,5,0)&amp;""</f>
        <v/>
      </c>
      <c r="F248" s="191"/>
      <c r="G248" s="30" t="str">
        <f>VLOOKUP($A248,Questions!$A$2:$X$333,21,0)&amp;""</f>
        <v>Yes</v>
      </c>
      <c r="H248" s="181"/>
      <c r="I248" s="45" t="str">
        <f>VLOOKUP($A248,Questions!$A$2:$X$333,23,0)&amp;""</f>
        <v>Critical Importance</v>
      </c>
      <c r="J248" s="181"/>
      <c r="K248" s="48" t="b">
        <v>0</v>
      </c>
      <c r="L248" s="1"/>
    </row>
    <row r="249" spans="1:12" s="29" customFormat="1" ht="345" x14ac:dyDescent="0.25">
      <c r="A249" s="19" t="str">
        <f>'Case-Specific'!A26</f>
        <v>CONS-04</v>
      </c>
      <c r="B249" s="20" t="str">
        <f>VLOOKUP($A249,'Case-Specific'!$A$13:$E$85,2,0)&amp;""</f>
        <v>Can access be restricted based on source IP address?*</v>
      </c>
      <c r="C249" s="45" t="str">
        <f>VLOOKUP($A249,'Case-Specific'!$A$13:$E$85,3,0)&amp;""</f>
        <v>Yes</v>
      </c>
      <c r="D249" s="34" t="str">
        <f>IF(LEFT(VLOOKUP($A249,'Case-Specific'!$A$13:$E$85,5,0),21)='Auto Responses'!$A$32,'Auto Responses'!$A$33,VLOOKUP($A249,'Case-Specific'!$A$13:$E$85,4,0))&amp;""</f>
        <v>Customers may enable IP whitelisting, which restricts access to the IP addresses the customer provides, together with Preservica's office addresses and Preservica's infrastructure monitoring platform. Where IP whitelisting is not enabled, access is restricted to authenticated users from any location, other than content the customer has specifically selected for public disclosure through Universal Access or a public Portal.</v>
      </c>
      <c r="E249" s="326" t="str">
        <f>VLOOKUP($A249,'Case-Specific'!$A$13:$E$85,5,0)&amp;""</f>
        <v/>
      </c>
      <c r="F249" s="191"/>
      <c r="G249" s="30" t="str">
        <f>VLOOKUP($A249,Questions!$A$2:$X$333,21,0)&amp;""</f>
        <v>Yes</v>
      </c>
      <c r="H249" s="181"/>
      <c r="I249" s="45" t="str">
        <f>VLOOKUP($A249,Questions!$A$2:$X$333,23,0)&amp;""</f>
        <v>Critical Importance</v>
      </c>
      <c r="J249" s="181"/>
      <c r="K249" s="48" t="b">
        <v>0</v>
      </c>
      <c r="L249" s="1"/>
    </row>
    <row r="250" spans="1:12" s="29" customFormat="1" ht="15" x14ac:dyDescent="0.25">
      <c r="A250" s="19" t="str">
        <f>'Case-Specific'!A27</f>
        <v>CONS-05</v>
      </c>
      <c r="B250" s="20" t="str">
        <f>VLOOKUP($A250,'Case-Specific'!$A$13:$E$85,2,0)&amp;""</f>
        <v>Will the consulting take place on-premises?</v>
      </c>
      <c r="C250" s="45" t="str">
        <f>VLOOKUP($A250,'Case-Specific'!$A$13:$E$85,3,0)&amp;""</f>
        <v>No</v>
      </c>
      <c r="D250" s="34" t="str">
        <f>IF(LEFT(VLOOKUP($A250,'Case-Specific'!$A$13:$E$85,5,0),21)='Auto Responses'!$A$32,'Auto Responses'!$A$33,VLOOKUP($A250,'Case-Specific'!$A$13:$E$85,4,0))&amp;""</f>
        <v/>
      </c>
      <c r="E250" s="326" t="str">
        <f>VLOOKUP($A250,'Case-Specific'!$A$13:$E$85,5,0)&amp;""</f>
        <v/>
      </c>
      <c r="F250" s="191"/>
      <c r="G250" s="30" t="str">
        <f>VLOOKUP($A250,Questions!$A$2:$X$333,21,0)&amp;""</f>
        <v>No</v>
      </c>
      <c r="H250" s="181"/>
      <c r="I250" s="45" t="str">
        <f>VLOOKUP($A250,Questions!$A$2:$X$333,23,0)&amp;""</f>
        <v>Standard Importance</v>
      </c>
      <c r="J250" s="181"/>
      <c r="K250" s="48" t="b">
        <v>0</v>
      </c>
      <c r="L250" s="1"/>
    </row>
    <row r="251" spans="1:12" s="29" customFormat="1" ht="27" x14ac:dyDescent="0.25">
      <c r="A251" s="19" t="str">
        <f>'Case-Specific'!A28</f>
        <v>CONS-06</v>
      </c>
      <c r="B251" s="20" t="str">
        <f>VLOOKUP($A251,'Case-Specific'!$A$13:$E$85,2,0)&amp;""</f>
        <v>Will the consultant require access to hardware in the institution's data centers?</v>
      </c>
      <c r="C251" s="45" t="str">
        <f>VLOOKUP($A251,'Case-Specific'!$A$13:$E$85,3,0)&amp;""</f>
        <v>No</v>
      </c>
      <c r="D251" s="34" t="str">
        <f>IF(LEFT(VLOOKUP($A251,'Case-Specific'!$A$13:$E$85,5,0),21)='Auto Responses'!$A$32,'Auto Responses'!$A$33,VLOOKUP($A251,'Case-Specific'!$A$13:$E$85,4,0))&amp;""</f>
        <v/>
      </c>
      <c r="E251" s="326" t="str">
        <f>VLOOKUP($A251,'Case-Specific'!$A$13:$E$85,5,0)&amp;""</f>
        <v/>
      </c>
      <c r="F251" s="191"/>
      <c r="G251" s="30" t="str">
        <f>VLOOKUP($A251,Questions!$A$2:$X$333,21,0)&amp;""</f>
        <v>No</v>
      </c>
      <c r="H251" s="181"/>
      <c r="I251" s="45" t="str">
        <f>VLOOKUP($A251,Questions!$A$2:$X$333,23,0)&amp;""</f>
        <v>Standard Importance</v>
      </c>
      <c r="J251" s="181"/>
      <c r="K251" s="48" t="b">
        <v>0</v>
      </c>
      <c r="L251" s="1"/>
    </row>
    <row r="252" spans="1:12" s="29" customFormat="1" ht="27" x14ac:dyDescent="0.25">
      <c r="A252" s="19" t="str">
        <f>'Case-Specific'!A29</f>
        <v>CONS-07</v>
      </c>
      <c r="B252" s="20" t="str">
        <f>VLOOKUP($A252,'Case-Specific'!$A$13:$E$85,2,0)&amp;""</f>
        <v>Will the consultant require an account within the institution's domain (@*.edu)?</v>
      </c>
      <c r="C252" s="45" t="str">
        <f>VLOOKUP($A252,'Case-Specific'!$A$13:$E$85,3,0)&amp;""</f>
        <v>No</v>
      </c>
      <c r="D252" s="34" t="str">
        <f>IF(LEFT(VLOOKUP($A252,'Case-Specific'!$A$13:$E$85,5,0),21)='Auto Responses'!$A$32,'Auto Responses'!$A$33,VLOOKUP($A252,'Case-Specific'!$A$13:$E$85,4,0))&amp;""</f>
        <v/>
      </c>
      <c r="E252" s="326" t="str">
        <f>VLOOKUP($A252,'Case-Specific'!$A$13:$E$85,5,0)&amp;""</f>
        <v/>
      </c>
      <c r="F252" s="191"/>
      <c r="G252" s="30" t="str">
        <f>VLOOKUP($A252,Questions!$A$2:$X$333,21,0)&amp;""</f>
        <v>No</v>
      </c>
      <c r="H252" s="181"/>
      <c r="I252" s="45" t="str">
        <f>VLOOKUP($A252,Questions!$A$2:$X$333,23,0)&amp;""</f>
        <v>Standard Importance</v>
      </c>
      <c r="J252" s="181"/>
      <c r="K252" s="48" t="b">
        <v>0</v>
      </c>
      <c r="L252" s="1"/>
    </row>
    <row r="253" spans="1:12" s="29" customFormat="1" ht="315" x14ac:dyDescent="0.25">
      <c r="A253" s="19" t="str">
        <f>'Case-Specific'!A30</f>
        <v>CONS-08</v>
      </c>
      <c r="B253" s="20" t="str">
        <f>VLOOKUP($A253,'Case-Specific'!$A$13:$E$85,2,0)&amp;""</f>
        <v>Will any data be transferred to the consultant's possession?</v>
      </c>
      <c r="C253" s="45" t="str">
        <f>VLOOKUP($A253,'Case-Specific'!$A$13:$E$85,3,0)&amp;""</f>
        <v>No</v>
      </c>
      <c r="D253" s="34" t="str">
        <f>IF(LEFT(VLOOKUP($A253,'Case-Specific'!$A$13:$E$85,5,0),21)='Auto Responses'!$A$32,'Auto Responses'!$A$33,VLOOKUP($A253,'Case-Specific'!$A$13:$E$85,4,0))&amp;""</f>
        <v>Professional Services work is performed within the customer's own Preservica environment, and customer content is not routinely transferred into Preservica's possession. Where a customer commissions a migration or consolidation engagement, content is moved between the customer's systems and their Preservica environment at the customer's direction and under the terms of that engagement.</v>
      </c>
      <c r="E253" s="326" t="str">
        <f>VLOOKUP($A253,'Case-Specific'!$A$13:$E$85,5,0)&amp;""</f>
        <v/>
      </c>
      <c r="F253" s="191"/>
      <c r="G253" s="30" t="str">
        <f>VLOOKUP($A253,Questions!$A$2:$X$333,21,0)&amp;""</f>
        <v>No</v>
      </c>
      <c r="H253" s="181"/>
      <c r="I253" s="45" t="str">
        <f>VLOOKUP($A253,Questions!$A$2:$X$333,23,0)&amp;""</f>
        <v>Standard Importance</v>
      </c>
      <c r="J253" s="181"/>
      <c r="K253" s="48" t="b">
        <v>0</v>
      </c>
      <c r="L253" s="1"/>
    </row>
    <row r="254" spans="1:12" s="29" customFormat="1" ht="27" x14ac:dyDescent="0.25">
      <c r="A254" s="19" t="str">
        <f>'Case-Specific'!A31</f>
        <v>CONS-09</v>
      </c>
      <c r="B254" s="20" t="str">
        <f>VLOOKUP($A254,'Case-Specific'!$A$13:$E$85,2,0)&amp;""</f>
        <v>Will the consultant need remote access to the institution's network or systems?</v>
      </c>
      <c r="C254" s="45" t="str">
        <f>VLOOKUP($A254,'Case-Specific'!$A$13:$E$85,3,0)&amp;""</f>
        <v>No</v>
      </c>
      <c r="D254" s="34" t="str">
        <f>IF(LEFT(VLOOKUP($A254,'Case-Specific'!$A$13:$E$85,5,0),21)='Auto Responses'!$A$32,'Auto Responses'!$A$33,VLOOKUP($A254,'Case-Specific'!$A$13:$E$85,4,0))&amp;""</f>
        <v/>
      </c>
      <c r="E254" s="326" t="str">
        <f>VLOOKUP($A254,'Case-Specific'!$A$13:$E$85,5,0)&amp;""</f>
        <v/>
      </c>
      <c r="F254" s="191"/>
      <c r="G254" s="30" t="str">
        <f>VLOOKUP($A254,Questions!$A$2:$X$333,21,0)&amp;""</f>
        <v>No</v>
      </c>
      <c r="H254" s="181"/>
      <c r="I254" s="45" t="str">
        <f>VLOOKUP($A254,Questions!$A$2:$X$333,23,0)&amp;""</f>
        <v>Standard Importance</v>
      </c>
      <c r="J254" s="181"/>
      <c r="K254" s="48" t="b">
        <v>0</v>
      </c>
      <c r="L254" s="1"/>
    </row>
    <row r="255" spans="1:12" s="1" customFormat="1" ht="17.5" x14ac:dyDescent="0.25">
      <c r="A255" s="63" t="str">
        <f>VLOOKUP(LEFT($A256,4),'Auto Responses'!$N$4:$O$38,2,0)&amp;""</f>
        <v xml:space="preserve">HIPAA Compliance </v>
      </c>
      <c r="B255" s="22"/>
      <c r="C255" s="31"/>
      <c r="D255" s="31"/>
      <c r="E255" s="327"/>
      <c r="F255" s="128" t="s">
        <v>632</v>
      </c>
      <c r="G255" s="331" t="s">
        <v>627</v>
      </c>
      <c r="H255" s="331" t="s">
        <v>628</v>
      </c>
      <c r="I255" s="331" t="s">
        <v>629</v>
      </c>
      <c r="J255" s="331" t="s">
        <v>630</v>
      </c>
      <c r="K255" s="331" t="s">
        <v>631</v>
      </c>
    </row>
    <row r="256" spans="1:12" s="29" customFormat="1" ht="90" x14ac:dyDescent="0.25">
      <c r="A256" s="19" t="str">
        <f>'Case-Specific'!A33</f>
        <v>HIPA-01</v>
      </c>
      <c r="B256" s="20" t="str">
        <f>VLOOKUP($A256,'Case-Specific'!$A$13:$E$85,2,0)&amp;""</f>
        <v>Do your workforce members receive regular training related to the Health Insurance Portability and Accountability Act (HIPAA) Privacy and Security Rules and the HITECH Act?*</v>
      </c>
      <c r="C256" s="45" t="str">
        <f>VLOOKUP($A256,'Case-Specific'!$A$13:$E$85,3,0)&amp;""</f>
        <v/>
      </c>
      <c r="D256" s="34" t="str">
        <f>IF(LEFT(VLOOKUP($A256,'Case-Specific'!$A$13:$E$85,5,0),21)='Auto Responses'!$A$32,'Auto Responses'!$A$33,VLOOKUP($A256,'Case-Specific'!$A$13:$E$85,4,0))&amp;""</f>
        <v>This question does not apply.</v>
      </c>
      <c r="E256" s="326" t="str">
        <f>VLOOKUP($A256,'Case-Specific'!$A$13:$E$85,5,0)&amp;""</f>
        <v>Based on the response to REQU-05 on the "START HERE" tab, this question does not apply to this product or service.</v>
      </c>
      <c r="F256" s="191"/>
      <c r="G256" s="30" t="str">
        <f>VLOOKUP($A256,Questions!$A$2:$X$333,21,0)&amp;""</f>
        <v>Yes</v>
      </c>
      <c r="H256" s="181"/>
      <c r="I256" s="45" t="str">
        <f>VLOOKUP($A256,Questions!$A$2:$X$333,23,0)&amp;""</f>
        <v>Critical Importance</v>
      </c>
      <c r="J256" s="181"/>
      <c r="K256" s="48" t="b">
        <v>0</v>
      </c>
      <c r="L256" s="1"/>
    </row>
    <row r="257" spans="1:12" s="29" customFormat="1" ht="90" x14ac:dyDescent="0.25">
      <c r="A257" s="19" t="str">
        <f>'Case-Specific'!A34</f>
        <v>HIPA-02</v>
      </c>
      <c r="B257" s="20" t="str">
        <f>VLOOKUP($A257,'Case-Specific'!$A$13:$E$85,2,0)&amp;""</f>
        <v>Have you identified areas of risk?*</v>
      </c>
      <c r="C257" s="45" t="str">
        <f>VLOOKUP($A257,'Case-Specific'!$A$13:$E$85,3,0)&amp;""</f>
        <v/>
      </c>
      <c r="D257" s="34" t="str">
        <f>IF(LEFT(VLOOKUP($A257,'Case-Specific'!$A$13:$E$85,5,0),21)='Auto Responses'!$A$32,'Auto Responses'!$A$33,VLOOKUP($A257,'Case-Specific'!$A$13:$E$85,4,0))&amp;""</f>
        <v>This question does not apply.</v>
      </c>
      <c r="E257" s="326" t="str">
        <f>VLOOKUP($A257,'Case-Specific'!$A$13:$E$85,5,0)&amp;""</f>
        <v>Based on the response to REQU-05 on the "START HERE" tab, this question does not apply to this product or service.</v>
      </c>
      <c r="F257" s="191"/>
      <c r="G257" s="30" t="str">
        <f>VLOOKUP($A257,Questions!$A$2:$X$333,21,0)&amp;""</f>
        <v>Yes</v>
      </c>
      <c r="H257" s="181"/>
      <c r="I257" s="45" t="str">
        <f>VLOOKUP($A257,Questions!$A$2:$X$333,23,0)&amp;""</f>
        <v>Critical Importance</v>
      </c>
      <c r="J257" s="181"/>
      <c r="K257" s="48" t="b">
        <v>0</v>
      </c>
      <c r="L257" s="1"/>
    </row>
    <row r="258" spans="1:12" s="29" customFormat="1" ht="90" x14ac:dyDescent="0.25">
      <c r="A258" s="19" t="str">
        <f>'Case-Specific'!A35</f>
        <v>HIPA-03</v>
      </c>
      <c r="B258" s="20" t="str">
        <f>VLOOKUP($A258,'Case-Specific'!$A$13:$E$85,2,0)&amp;""</f>
        <v>Have the relevant policies/plans been tested?*</v>
      </c>
      <c r="C258" s="45" t="str">
        <f>VLOOKUP($A258,'Case-Specific'!$A$13:$E$85,3,0)&amp;""</f>
        <v/>
      </c>
      <c r="D258" s="34" t="str">
        <f>IF(LEFT(VLOOKUP($A258,'Case-Specific'!$A$13:$E$85,5,0),21)='Auto Responses'!$A$32,'Auto Responses'!$A$33,VLOOKUP($A258,'Case-Specific'!$A$13:$E$85,4,0))&amp;""</f>
        <v>This question does not apply.</v>
      </c>
      <c r="E258" s="326" t="str">
        <f>VLOOKUP($A258,'Case-Specific'!$A$13:$E$85,5,0)&amp;""</f>
        <v>Based on the response to REQU-05 on the "START HERE" tab, this question does not apply to this product or service.</v>
      </c>
      <c r="F258" s="191"/>
      <c r="G258" s="30" t="str">
        <f>VLOOKUP($A258,Questions!$A$2:$X$333,21,0)&amp;""</f>
        <v>Yes</v>
      </c>
      <c r="H258" s="181"/>
      <c r="I258" s="45" t="str">
        <f>VLOOKUP($A258,Questions!$A$2:$X$333,23,0)&amp;""</f>
        <v>Critical Importance</v>
      </c>
      <c r="J258" s="181"/>
      <c r="K258" s="48" t="b">
        <v>0</v>
      </c>
      <c r="L258" s="1"/>
    </row>
    <row r="259" spans="1:12" s="29" customFormat="1" ht="90" x14ac:dyDescent="0.25">
      <c r="A259" s="19" t="str">
        <f>'Case-Specific'!A36</f>
        <v>HIPA-04</v>
      </c>
      <c r="B259" s="20" t="str">
        <f>VLOOKUP($A259,'Case-Specific'!$A$13:$E$85,2,0)&amp;""</f>
        <v>Have you entered into a Business Associate Agreements with all subcontractors who may have access to protected health information (PHI)?*</v>
      </c>
      <c r="C259" s="45" t="str">
        <f>VLOOKUP($A259,'Case-Specific'!$A$13:$E$85,3,0)&amp;""</f>
        <v/>
      </c>
      <c r="D259" s="34" t="str">
        <f>IF(LEFT(VLOOKUP($A259,'Case-Specific'!$A$13:$E$85,5,0),21)='Auto Responses'!$A$32,'Auto Responses'!$A$33,VLOOKUP($A259,'Case-Specific'!$A$13:$E$85,4,0))&amp;""</f>
        <v>This question does not apply.</v>
      </c>
      <c r="E259" s="326" t="str">
        <f>VLOOKUP($A259,'Case-Specific'!$A$13:$E$85,5,0)&amp;""</f>
        <v>Based on the response to REQU-05 on the "START HERE" tab, this question does not apply to this product or service.</v>
      </c>
      <c r="F259" s="191"/>
      <c r="G259" s="30" t="str">
        <f>VLOOKUP($A259,Questions!$A$2:$X$333,21,0)&amp;""</f>
        <v>Yes</v>
      </c>
      <c r="H259" s="181"/>
      <c r="I259" s="45" t="str">
        <f>VLOOKUP($A259,Questions!$A$2:$X$333,23,0)&amp;""</f>
        <v>Critical Importance</v>
      </c>
      <c r="J259" s="181"/>
      <c r="K259" s="48" t="b">
        <v>0</v>
      </c>
      <c r="L259" s="1"/>
    </row>
    <row r="260" spans="1:12" s="29" customFormat="1" ht="90" x14ac:dyDescent="0.25">
      <c r="A260" s="19" t="str">
        <f>'Case-Specific'!A37</f>
        <v>HIPA-05</v>
      </c>
      <c r="B260" s="20" t="str">
        <f>VLOOKUP($A260,'Case-Specific'!$A$13:$E$85,2,0)&amp;""</f>
        <v>Do you monitor or receive information regarding changes in HIPAA regulations?</v>
      </c>
      <c r="C260" s="45" t="str">
        <f>VLOOKUP($A260,'Case-Specific'!$A$13:$E$85,3,0)&amp;""</f>
        <v/>
      </c>
      <c r="D260" s="34" t="str">
        <f>IF(LEFT(VLOOKUP($A260,'Case-Specific'!$A$13:$E$85,5,0),21)='Auto Responses'!$A$32,'Auto Responses'!$A$33,VLOOKUP($A260,'Case-Specific'!$A$13:$E$85,4,0))&amp;""</f>
        <v>This question does not apply.</v>
      </c>
      <c r="E260" s="326" t="str">
        <f>VLOOKUP($A260,'Case-Specific'!$A$13:$E$85,5,0)&amp;""</f>
        <v>Based on the response to REQU-05 on the "START HERE" tab, this question does not apply to this product or service.</v>
      </c>
      <c r="F260" s="191"/>
      <c r="G260" s="30" t="str">
        <f>VLOOKUP($A260,Questions!$A$2:$X$333,21,0)&amp;""</f>
        <v>Yes</v>
      </c>
      <c r="H260" s="181"/>
      <c r="I260" s="45" t="str">
        <f>VLOOKUP($A260,Questions!$A$2:$X$333,23,0)&amp;""</f>
        <v>Standard Importance</v>
      </c>
      <c r="J260" s="181"/>
      <c r="K260" s="48" t="b">
        <v>0</v>
      </c>
      <c r="L260" s="1"/>
    </row>
    <row r="261" spans="1:12" s="29" customFormat="1" ht="90" x14ac:dyDescent="0.25">
      <c r="A261" s="19" t="str">
        <f>'Case-Specific'!A38</f>
        <v>HIPA-06</v>
      </c>
      <c r="B261" s="20" t="str">
        <f>VLOOKUP($A261,'Case-Specific'!$A$13:$E$85,2,0)&amp;""</f>
        <v>Has your organization designated HIPAA Privacy and Security officers as required by the rules?</v>
      </c>
      <c r="C261" s="45" t="str">
        <f>VLOOKUP($A261,'Case-Specific'!$A$13:$E$85,3,0)&amp;""</f>
        <v/>
      </c>
      <c r="D261" s="34" t="str">
        <f>IF(LEFT(VLOOKUP($A261,'Case-Specific'!$A$13:$E$85,5,0),21)='Auto Responses'!$A$32,'Auto Responses'!$A$33,VLOOKUP($A261,'Case-Specific'!$A$13:$E$85,4,0))&amp;""</f>
        <v>This question does not apply.</v>
      </c>
      <c r="E261" s="326" t="str">
        <f>VLOOKUP($A261,'Case-Specific'!$A$13:$E$85,5,0)&amp;""</f>
        <v>Based on the response to REQU-05 on the "START HERE" tab, this question does not apply to this product or service.</v>
      </c>
      <c r="F261" s="191"/>
      <c r="G261" s="30" t="str">
        <f>VLOOKUP($A261,Questions!$A$2:$X$333,21,0)&amp;""</f>
        <v>Yes</v>
      </c>
      <c r="H261" s="181"/>
      <c r="I261" s="45" t="str">
        <f>VLOOKUP($A261,Questions!$A$2:$X$333,23,0)&amp;""</f>
        <v>Standard Importance</v>
      </c>
      <c r="J261" s="181"/>
      <c r="K261" s="48" t="b">
        <v>0</v>
      </c>
      <c r="L261" s="1"/>
    </row>
    <row r="262" spans="1:12" s="29" customFormat="1" ht="90" x14ac:dyDescent="0.25">
      <c r="A262" s="19" t="str">
        <f>'Case-Specific'!A39</f>
        <v>HIPA-07</v>
      </c>
      <c r="B262" s="20" t="str">
        <f>VLOOKUP($A262,'Case-Specific'!$A$13:$E$85,2,0)&amp;""</f>
        <v>Do you comply with the requirements of the Health Information Technology for Economic and Clinical Health Act (HITECH)?</v>
      </c>
      <c r="C262" s="45" t="str">
        <f>VLOOKUP($A262,'Case-Specific'!$A$13:$E$85,3,0)&amp;""</f>
        <v/>
      </c>
      <c r="D262" s="34" t="str">
        <f>IF(LEFT(VLOOKUP($A262,'Case-Specific'!$A$13:$E$85,5,0),21)='Auto Responses'!$A$32,'Auto Responses'!$A$33,VLOOKUP($A262,'Case-Specific'!$A$13:$E$85,4,0))&amp;""</f>
        <v>This question does not apply.</v>
      </c>
      <c r="E262" s="326" t="str">
        <f>VLOOKUP($A262,'Case-Specific'!$A$13:$E$85,5,0)&amp;""</f>
        <v>Based on the response to REQU-05 on the "START HERE" tab, this question does not apply to this product or service.</v>
      </c>
      <c r="F262" s="191"/>
      <c r="G262" s="30" t="str">
        <f>VLOOKUP($A262,Questions!$A$2:$X$333,21,0)&amp;""</f>
        <v>Yes</v>
      </c>
      <c r="H262" s="181"/>
      <c r="I262" s="45" t="str">
        <f>VLOOKUP($A262,Questions!$A$2:$X$333,23,0)&amp;""</f>
        <v>Standard Importance</v>
      </c>
      <c r="J262" s="181"/>
      <c r="K262" s="48" t="b">
        <v>0</v>
      </c>
      <c r="L262" s="1"/>
    </row>
    <row r="263" spans="1:12" s="29" customFormat="1" ht="90" x14ac:dyDescent="0.25">
      <c r="A263" s="19" t="str">
        <f>'Case-Specific'!A40</f>
        <v>HIPA-08</v>
      </c>
      <c r="B263" s="20" t="str">
        <f>VLOOKUP($A263,'Case-Specific'!$A$13:$E$85,2,0)&amp;""</f>
        <v>Have you conducted a risk analysis as required under the HIPAA Security Rule?</v>
      </c>
      <c r="C263" s="45" t="str">
        <f>VLOOKUP($A263,'Case-Specific'!$A$13:$E$85,3,0)&amp;""</f>
        <v/>
      </c>
      <c r="D263" s="34" t="str">
        <f>IF(LEFT(VLOOKUP($A263,'Case-Specific'!$A$13:$E$85,5,0),21)='Auto Responses'!$A$32,'Auto Responses'!$A$33,VLOOKUP($A263,'Case-Specific'!$A$13:$E$85,4,0))&amp;""</f>
        <v>This question does not apply.</v>
      </c>
      <c r="E263" s="326" t="str">
        <f>VLOOKUP($A263,'Case-Specific'!$A$13:$E$85,5,0)&amp;""</f>
        <v>Based on the response to REQU-05 on the "START HERE" tab, this question does not apply to this product or service.</v>
      </c>
      <c r="F263" s="191"/>
      <c r="G263" s="30" t="str">
        <f>VLOOKUP($A263,Questions!$A$2:$X$333,21,0)&amp;""</f>
        <v>Yes</v>
      </c>
      <c r="H263" s="181"/>
      <c r="I263" s="45" t="str">
        <f>VLOOKUP($A263,Questions!$A$2:$X$333,23,0)&amp;""</f>
        <v>Standard Importance</v>
      </c>
      <c r="J263" s="181"/>
      <c r="K263" s="48" t="b">
        <v>0</v>
      </c>
      <c r="L263" s="1"/>
    </row>
    <row r="264" spans="1:12" s="29" customFormat="1" ht="90" x14ac:dyDescent="0.25">
      <c r="A264" s="19" t="str">
        <f>'Case-Specific'!A41</f>
        <v>HIPA-09</v>
      </c>
      <c r="B264" s="20" t="str">
        <f>VLOOKUP($A264,'Case-Specific'!$A$13:$E$85,2,0)&amp;""</f>
        <v>Have you taken actions to mitigate the identified risks?</v>
      </c>
      <c r="C264" s="45" t="str">
        <f>VLOOKUP($A264,'Case-Specific'!$A$13:$E$85,3,0)&amp;""</f>
        <v/>
      </c>
      <c r="D264" s="34" t="str">
        <f>IF(LEFT(VLOOKUP($A264,'Case-Specific'!$A$13:$E$85,5,0),21)='Auto Responses'!$A$32,'Auto Responses'!$A$33,VLOOKUP($A264,'Case-Specific'!$A$13:$E$85,4,0))&amp;""</f>
        <v>This question does not apply.</v>
      </c>
      <c r="E264" s="326" t="str">
        <f>VLOOKUP($A264,'Case-Specific'!$A$13:$E$85,5,0)&amp;""</f>
        <v>Based on the response to REQU-05 on the "START HERE" tab, this question does not apply to this product or service.</v>
      </c>
      <c r="F264" s="191"/>
      <c r="G264" s="30" t="str">
        <f>VLOOKUP($A264,Questions!$A$2:$X$333,21,0)&amp;""</f>
        <v>Yes</v>
      </c>
      <c r="H264" s="181"/>
      <c r="I264" s="45" t="str">
        <f>VLOOKUP($A264,Questions!$A$2:$X$333,23,0)&amp;""</f>
        <v>Standard Importance</v>
      </c>
      <c r="J264" s="181"/>
      <c r="K264" s="48" t="b">
        <v>0</v>
      </c>
      <c r="L264" s="1"/>
    </row>
    <row r="265" spans="1:12" s="29" customFormat="1" ht="90" x14ac:dyDescent="0.25">
      <c r="A265" s="19" t="str">
        <f>'Case-Specific'!A42</f>
        <v>HIPA-10</v>
      </c>
      <c r="B265" s="20" t="str">
        <f>VLOOKUP($A265,'Case-Specific'!$A$13:$E$85,2,0)&amp;""</f>
        <v>Does your application require user and system administrator password changes at a frequency no greater than 90 days?</v>
      </c>
      <c r="C265" s="45" t="str">
        <f>VLOOKUP($A265,'Case-Specific'!$A$13:$E$85,3,0)&amp;""</f>
        <v/>
      </c>
      <c r="D265" s="34" t="str">
        <f>IF(LEFT(VLOOKUP($A265,'Case-Specific'!$A$13:$E$85,5,0),21)='Auto Responses'!$A$32,'Auto Responses'!$A$33,VLOOKUP($A265,'Case-Specific'!$A$13:$E$85,4,0))&amp;""</f>
        <v>This question does not apply.</v>
      </c>
      <c r="E265" s="326" t="str">
        <f>VLOOKUP($A265,'Case-Specific'!$A$13:$E$85,5,0)&amp;""</f>
        <v>Based on the response to REQU-05 on the "START HERE" tab, this question does not apply to this product or service.</v>
      </c>
      <c r="F265" s="191"/>
      <c r="G265" s="30" t="str">
        <f>VLOOKUP($A265,Questions!$A$2:$X$333,21,0)&amp;""</f>
        <v>Yes</v>
      </c>
      <c r="H265" s="181"/>
      <c r="I265" s="45" t="str">
        <f>VLOOKUP($A265,Questions!$A$2:$X$333,23,0)&amp;""</f>
        <v>Standard Importance</v>
      </c>
      <c r="J265" s="181"/>
      <c r="K265" s="48" t="b">
        <v>0</v>
      </c>
      <c r="L265" s="1"/>
    </row>
    <row r="266" spans="1:12" s="29" customFormat="1" ht="90" x14ac:dyDescent="0.25">
      <c r="A266" s="19" t="str">
        <f>'Case-Specific'!A43</f>
        <v>HIPA-11</v>
      </c>
      <c r="B266" s="20" t="str">
        <f>VLOOKUP($A266,'Case-Specific'!$A$13:$E$85,2,0)&amp;""</f>
        <v>Does your application require users to set their own password after an administrator reset or on first use of the account?</v>
      </c>
      <c r="C266" s="45" t="str">
        <f>VLOOKUP($A266,'Case-Specific'!$A$13:$E$85,3,0)&amp;""</f>
        <v/>
      </c>
      <c r="D266" s="34" t="str">
        <f>IF(LEFT(VLOOKUP($A266,'Case-Specific'!$A$13:$E$85,5,0),21)='Auto Responses'!$A$32,'Auto Responses'!$A$33,VLOOKUP($A266,'Case-Specific'!$A$13:$E$85,4,0))&amp;""</f>
        <v>This question does not apply.</v>
      </c>
      <c r="E266" s="326" t="str">
        <f>VLOOKUP($A266,'Case-Specific'!$A$13:$E$85,5,0)&amp;""</f>
        <v>Based on the response to REQU-05 on the "START HERE" tab, this question does not apply to this product or service.</v>
      </c>
      <c r="F266" s="191"/>
      <c r="G266" s="30" t="str">
        <f>VLOOKUP($A266,Questions!$A$2:$X$333,21,0)&amp;""</f>
        <v>Yes</v>
      </c>
      <c r="H266" s="181"/>
      <c r="I266" s="45" t="str">
        <f>VLOOKUP($A266,Questions!$A$2:$X$333,23,0)&amp;""</f>
        <v>Standard Importance</v>
      </c>
      <c r="J266" s="181"/>
      <c r="K266" s="48" t="b">
        <v>0</v>
      </c>
      <c r="L266" s="1"/>
    </row>
    <row r="267" spans="1:12" s="29" customFormat="1" ht="90" x14ac:dyDescent="0.25">
      <c r="A267" s="19" t="str">
        <f>'Case-Specific'!A44</f>
        <v>HIPA-12</v>
      </c>
      <c r="B267" s="20" t="str">
        <f>VLOOKUP($A267,'Case-Specific'!$A$13:$E$85,2,0)&amp;""</f>
        <v>Does your application lock out an account after a number of failed login attempts?</v>
      </c>
      <c r="C267" s="45" t="str">
        <f>VLOOKUP($A267,'Case-Specific'!$A$13:$E$85,3,0)&amp;""</f>
        <v/>
      </c>
      <c r="D267" s="34" t="str">
        <f>IF(LEFT(VLOOKUP($A267,'Case-Specific'!$A$13:$E$85,5,0),21)='Auto Responses'!$A$32,'Auto Responses'!$A$33,VLOOKUP($A267,'Case-Specific'!$A$13:$E$85,4,0))&amp;""</f>
        <v>This question does not apply.</v>
      </c>
      <c r="E267" s="326" t="str">
        <f>VLOOKUP($A267,'Case-Specific'!$A$13:$E$85,5,0)&amp;""</f>
        <v>Based on the response to REQU-05 on the "START HERE" tab, this question does not apply to this product or service.</v>
      </c>
      <c r="F267" s="191"/>
      <c r="G267" s="30" t="str">
        <f>VLOOKUP($A267,Questions!$A$2:$X$333,21,0)&amp;""</f>
        <v>Yes</v>
      </c>
      <c r="H267" s="181"/>
      <c r="I267" s="45" t="str">
        <f>VLOOKUP($A267,Questions!$A$2:$X$333,23,0)&amp;""</f>
        <v>Standard Importance</v>
      </c>
      <c r="J267" s="181"/>
      <c r="K267" s="48" t="b">
        <v>0</v>
      </c>
      <c r="L267" s="1"/>
    </row>
    <row r="268" spans="1:12" s="29" customFormat="1" ht="90" x14ac:dyDescent="0.25">
      <c r="A268" s="19" t="str">
        <f>'Case-Specific'!A45</f>
        <v>HIPA-13</v>
      </c>
      <c r="B268" s="20" t="str">
        <f>VLOOKUP($A268,'Case-Specific'!$A$13:$E$85,2,0)&amp;""</f>
        <v>Does your application automatically lock or log-out an account after a period of inactivity?</v>
      </c>
      <c r="C268" s="45" t="str">
        <f>VLOOKUP($A268,'Case-Specific'!$A$13:$E$85,3,0)&amp;""</f>
        <v/>
      </c>
      <c r="D268" s="34" t="str">
        <f>IF(LEFT(VLOOKUP($A268,'Case-Specific'!$A$13:$E$85,5,0),21)='Auto Responses'!$A$32,'Auto Responses'!$A$33,VLOOKUP($A268,'Case-Specific'!$A$13:$E$85,4,0))&amp;""</f>
        <v>This question does not apply.</v>
      </c>
      <c r="E268" s="326" t="str">
        <f>VLOOKUP($A268,'Case-Specific'!$A$13:$E$85,5,0)&amp;""</f>
        <v>Based on the response to REQU-05 on the "START HERE" tab, this question does not apply to this product or service.</v>
      </c>
      <c r="F268" s="191"/>
      <c r="G268" s="30" t="str">
        <f>VLOOKUP($A268,Questions!$A$2:$X$333,21,0)&amp;""</f>
        <v>Yes</v>
      </c>
      <c r="H268" s="181"/>
      <c r="I268" s="45" t="str">
        <f>VLOOKUP($A268,Questions!$A$2:$X$333,23,0)&amp;""</f>
        <v>Standard Importance</v>
      </c>
      <c r="J268" s="181"/>
      <c r="K268" s="48" t="b">
        <v>0</v>
      </c>
      <c r="L268" s="1"/>
    </row>
    <row r="269" spans="1:12" s="29" customFormat="1" ht="90" x14ac:dyDescent="0.25">
      <c r="A269" s="19" t="str">
        <f>'Case-Specific'!A46</f>
        <v>HIPA-14</v>
      </c>
      <c r="B269" s="20" t="str">
        <f>VLOOKUP($A269,'Case-Specific'!$A$13:$E$85,2,0)&amp;""</f>
        <v>Are passwords visible in plain text, whether when stored or entered, including service level accounts (i.e., database accounts, etc.)?</v>
      </c>
      <c r="C269" s="45" t="str">
        <f>VLOOKUP($A269,'Case-Specific'!$A$13:$E$85,3,0)&amp;""</f>
        <v/>
      </c>
      <c r="D269" s="34" t="str">
        <f>IF(LEFT(VLOOKUP($A269,'Case-Specific'!$A$13:$E$85,5,0),21)='Auto Responses'!$A$32,'Auto Responses'!$A$33,VLOOKUP($A269,'Case-Specific'!$A$13:$E$85,4,0))&amp;""</f>
        <v>This question does not apply.</v>
      </c>
      <c r="E269" s="326" t="str">
        <f>VLOOKUP($A269,'Case-Specific'!$A$13:$E$85,5,0)&amp;""</f>
        <v>Based on the response to REQU-05 on the "START HERE" tab, this question does not apply to this product or service.</v>
      </c>
      <c r="F269" s="191"/>
      <c r="G269" s="30" t="str">
        <f>VLOOKUP($A269,Questions!$A$2:$X$333,21,0)&amp;""</f>
        <v>No</v>
      </c>
      <c r="H269" s="181"/>
      <c r="I269" s="45" t="str">
        <f>VLOOKUP($A269,Questions!$A$2:$X$333,23,0)&amp;""</f>
        <v>Standard Importance</v>
      </c>
      <c r="J269" s="181"/>
      <c r="K269" s="48" t="b">
        <v>0</v>
      </c>
      <c r="L269" s="1"/>
    </row>
    <row r="270" spans="1:12" s="29" customFormat="1" ht="90" x14ac:dyDescent="0.25">
      <c r="A270" s="19" t="str">
        <f>'Case-Specific'!A47</f>
        <v>HIPA-15</v>
      </c>
      <c r="B270" s="20" t="str">
        <f>VLOOKUP($A270,'Case-Specific'!$A$13:$E$85,2,0)&amp;""</f>
        <v>If the application is institution-hosted, can all service level and administrative account passwords be changed by the institution?</v>
      </c>
      <c r="C270" s="45" t="str">
        <f>VLOOKUP($A270,'Case-Specific'!$A$13:$E$85,3,0)&amp;""</f>
        <v/>
      </c>
      <c r="D270" s="34" t="str">
        <f>IF(LEFT(VLOOKUP($A270,'Case-Specific'!$A$13:$E$85,5,0),21)='Auto Responses'!$A$32,'Auto Responses'!$A$33,VLOOKUP($A270,'Case-Specific'!$A$13:$E$85,4,0))&amp;""</f>
        <v>This question does not apply.</v>
      </c>
      <c r="E270" s="326" t="str">
        <f>VLOOKUP($A270,'Case-Specific'!$A$13:$E$85,5,0)&amp;""</f>
        <v>Based on the response to REQU-05 on the "START HERE" tab, this question does not apply to this product or service.</v>
      </c>
      <c r="F270" s="191"/>
      <c r="G270" s="30" t="str">
        <f>VLOOKUP($A270,Questions!$A$2:$X$333,21,0)&amp;""</f>
        <v>Yes</v>
      </c>
      <c r="H270" s="181"/>
      <c r="I270" s="45" t="str">
        <f>VLOOKUP($A270,Questions!$A$2:$X$333,23,0)&amp;""</f>
        <v>Standard Importance</v>
      </c>
      <c r="J270" s="181"/>
      <c r="K270" s="48" t="b">
        <v>0</v>
      </c>
      <c r="L270" s="1"/>
    </row>
    <row r="271" spans="1:12" s="29" customFormat="1" ht="90" x14ac:dyDescent="0.25">
      <c r="A271" s="19" t="str">
        <f>'Case-Specific'!A48</f>
        <v>HIPA-16</v>
      </c>
      <c r="B271" s="20" t="str">
        <f>VLOOKUP($A271,'Case-Specific'!$A$13:$E$85,2,0)&amp;""</f>
        <v>Does your application provide the ability to define user access levels?</v>
      </c>
      <c r="C271" s="45" t="str">
        <f>VLOOKUP($A271,'Case-Specific'!$A$13:$E$85,3,0)&amp;""</f>
        <v/>
      </c>
      <c r="D271" s="34" t="str">
        <f>IF(LEFT(VLOOKUP($A271,'Case-Specific'!$A$13:$E$85,5,0),21)='Auto Responses'!$A$32,'Auto Responses'!$A$33,VLOOKUP($A271,'Case-Specific'!$A$13:$E$85,4,0))&amp;""</f>
        <v>This question does not apply.</v>
      </c>
      <c r="E271" s="326" t="str">
        <f>VLOOKUP($A271,'Case-Specific'!$A$13:$E$85,5,0)&amp;""</f>
        <v>Based on the response to REQU-05 on the "START HERE" tab, this question does not apply to this product or service.</v>
      </c>
      <c r="F271" s="191"/>
      <c r="G271" s="30" t="str">
        <f>VLOOKUP($A271,Questions!$A$2:$X$333,21,0)&amp;""</f>
        <v>Yes</v>
      </c>
      <c r="H271" s="181"/>
      <c r="I271" s="45" t="str">
        <f>VLOOKUP($A271,Questions!$A$2:$X$333,23,0)&amp;""</f>
        <v>Standard Importance</v>
      </c>
      <c r="J271" s="181"/>
      <c r="K271" s="48" t="b">
        <v>0</v>
      </c>
      <c r="L271" s="1"/>
    </row>
    <row r="272" spans="1:12" s="29" customFormat="1" ht="90" x14ac:dyDescent="0.25">
      <c r="A272" s="19" t="str">
        <f>'Case-Specific'!A49</f>
        <v>HIPA-17</v>
      </c>
      <c r="B272" s="20" t="str">
        <f>VLOOKUP($A272,'Case-Specific'!$A$13:$E$85,2,0)&amp;""</f>
        <v>Does your application support varying levels of access to administrative tasks defined individually per user?</v>
      </c>
      <c r="C272" s="45" t="str">
        <f>VLOOKUP($A272,'Case-Specific'!$A$13:$E$85,3,0)&amp;""</f>
        <v/>
      </c>
      <c r="D272" s="34" t="str">
        <f>IF(LEFT(VLOOKUP($A272,'Case-Specific'!$A$13:$E$85,5,0),21)='Auto Responses'!$A$32,'Auto Responses'!$A$33,VLOOKUP($A272,'Case-Specific'!$A$13:$E$85,4,0))&amp;""</f>
        <v>This question does not apply.</v>
      </c>
      <c r="E272" s="326" t="str">
        <f>VLOOKUP($A272,'Case-Specific'!$A$13:$E$85,5,0)&amp;""</f>
        <v>Based on the response to REQU-05 on the "START HERE" tab, this question does not apply to this product or service.</v>
      </c>
      <c r="F272" s="191"/>
      <c r="G272" s="30" t="str">
        <f>VLOOKUP($A272,Questions!$A$2:$X$333,21,0)&amp;""</f>
        <v>Yes</v>
      </c>
      <c r="H272" s="181"/>
      <c r="I272" s="45" t="str">
        <f>VLOOKUP($A272,Questions!$A$2:$X$333,23,0)&amp;""</f>
        <v>Standard Importance</v>
      </c>
      <c r="J272" s="181"/>
      <c r="K272" s="48" t="b">
        <v>0</v>
      </c>
      <c r="L272" s="1"/>
    </row>
    <row r="273" spans="1:12" s="29" customFormat="1" ht="90" x14ac:dyDescent="0.25">
      <c r="A273" s="19" t="str">
        <f>'Case-Specific'!A50</f>
        <v>HIPA-18</v>
      </c>
      <c r="B273" s="20" t="str">
        <f>VLOOKUP($A273,'Case-Specific'!$A$13:$E$85,2,0)&amp;""</f>
        <v>Does your application support varying levels of access to records based on user ID?</v>
      </c>
      <c r="C273" s="45" t="str">
        <f>VLOOKUP($A273,'Case-Specific'!$A$13:$E$85,3,0)&amp;""</f>
        <v/>
      </c>
      <c r="D273" s="34" t="str">
        <f>IF(LEFT(VLOOKUP($A273,'Case-Specific'!$A$13:$E$85,5,0),21)='Auto Responses'!$A$32,'Auto Responses'!$A$33,VLOOKUP($A273,'Case-Specific'!$A$13:$E$85,4,0))&amp;""</f>
        <v>This question does not apply.</v>
      </c>
      <c r="E273" s="326" t="str">
        <f>VLOOKUP($A273,'Case-Specific'!$A$13:$E$85,5,0)&amp;""</f>
        <v>Based on the response to REQU-05 on the "START HERE" tab, this question does not apply to this product or service.</v>
      </c>
      <c r="F273" s="191"/>
      <c r="G273" s="30" t="str">
        <f>VLOOKUP($A273,Questions!$A$2:$X$333,21,0)&amp;""</f>
        <v>No</v>
      </c>
      <c r="H273" s="181"/>
      <c r="I273" s="45" t="str">
        <f>VLOOKUP($A273,Questions!$A$2:$X$333,23,0)&amp;""</f>
        <v>Standard Importance</v>
      </c>
      <c r="J273" s="181"/>
      <c r="K273" s="48" t="b">
        <v>0</v>
      </c>
      <c r="L273" s="1"/>
    </row>
    <row r="274" spans="1:12" s="29" customFormat="1" ht="90" x14ac:dyDescent="0.25">
      <c r="A274" s="19" t="str">
        <f>'Case-Specific'!A51</f>
        <v>HIPA-19</v>
      </c>
      <c r="B274" s="20" t="str">
        <f>VLOOKUP($A274,'Case-Specific'!$A$13:$E$85,2,0)&amp;""</f>
        <v>Is there a limit to the number of groups to which a user can be assigned?</v>
      </c>
      <c r="C274" s="45" t="str">
        <f>VLOOKUP($A274,'Case-Specific'!$A$13:$E$85,3,0)&amp;""</f>
        <v/>
      </c>
      <c r="D274" s="34" t="str">
        <f>IF(LEFT(VLOOKUP($A274,'Case-Specific'!$A$13:$E$85,5,0),21)='Auto Responses'!$A$32,'Auto Responses'!$A$33,VLOOKUP($A274,'Case-Specific'!$A$13:$E$85,4,0))&amp;""</f>
        <v>This question does not apply.</v>
      </c>
      <c r="E274" s="326" t="str">
        <f>VLOOKUP($A274,'Case-Specific'!$A$13:$E$85,5,0)&amp;""</f>
        <v>Based on the response to REQU-05 on the "START HERE" tab, this question does not apply to this product or service.</v>
      </c>
      <c r="F274" s="191"/>
      <c r="G274" s="30" t="str">
        <f>VLOOKUP($A274,Questions!$A$2:$X$333,21,0)&amp;""</f>
        <v>Yes</v>
      </c>
      <c r="H274" s="181"/>
      <c r="I274" s="45" t="str">
        <f>VLOOKUP($A274,Questions!$A$2:$X$333,23,0)&amp;""</f>
        <v>Standard Importance</v>
      </c>
      <c r="J274" s="181"/>
      <c r="K274" s="48" t="b">
        <v>0</v>
      </c>
      <c r="L274" s="1"/>
    </row>
    <row r="275" spans="1:12" s="29" customFormat="1" ht="90" x14ac:dyDescent="0.25">
      <c r="A275" s="19" t="str">
        <f>'Case-Specific'!A52</f>
        <v>HIPA-20</v>
      </c>
      <c r="B275" s="20" t="str">
        <f>VLOOKUP($A275,'Case-Specific'!$A$13:$E$85,2,0)&amp;""</f>
        <v>Do accounts used for solution provider-supplied remote support abide by the same authentication policies and access logging as the rest of the system?</v>
      </c>
      <c r="C275" s="45" t="str">
        <f>VLOOKUP($A275,'Case-Specific'!$A$13:$E$85,3,0)&amp;""</f>
        <v/>
      </c>
      <c r="D275" s="34" t="str">
        <f>IF(LEFT(VLOOKUP($A275,'Case-Specific'!$A$13:$E$85,5,0),21)='Auto Responses'!$A$32,'Auto Responses'!$A$33,VLOOKUP($A275,'Case-Specific'!$A$13:$E$85,4,0))&amp;""</f>
        <v>This question does not apply.</v>
      </c>
      <c r="E275" s="326" t="str">
        <f>VLOOKUP($A275,'Case-Specific'!$A$13:$E$85,5,0)&amp;""</f>
        <v>Based on the response to REQU-05 on the "START HERE" tab, this question does not apply to this product or service.</v>
      </c>
      <c r="F275" s="191"/>
      <c r="G275" s="30" t="str">
        <f>VLOOKUP($A275,Questions!$A$2:$X$333,21,0)&amp;""</f>
        <v>Yes</v>
      </c>
      <c r="H275" s="181"/>
      <c r="I275" s="45" t="str">
        <f>VLOOKUP($A275,Questions!$A$2:$X$333,23,0)&amp;""</f>
        <v>Standard Importance</v>
      </c>
      <c r="J275" s="181"/>
      <c r="K275" s="48" t="b">
        <v>0</v>
      </c>
      <c r="L275" s="1"/>
    </row>
    <row r="276" spans="1:12" s="29" customFormat="1" ht="90" x14ac:dyDescent="0.25">
      <c r="A276" s="19" t="str">
        <f>'Case-Specific'!A53</f>
        <v>HIPA-21</v>
      </c>
      <c r="B276" s="20" t="str">
        <f>VLOOKUP($A276,'Case-Specific'!$A$13:$E$85,2,0)&amp;""</f>
        <v>Does the application log record access including specific user, date/time of access, and originating IP or device?</v>
      </c>
      <c r="C276" s="45" t="str">
        <f>VLOOKUP($A276,'Case-Specific'!$A$13:$E$85,3,0)&amp;""</f>
        <v/>
      </c>
      <c r="D276" s="34" t="str">
        <f>IF(LEFT(VLOOKUP($A276,'Case-Specific'!$A$13:$E$85,5,0),21)='Auto Responses'!$A$32,'Auto Responses'!$A$33,VLOOKUP($A276,'Case-Specific'!$A$13:$E$85,4,0))&amp;""</f>
        <v>This question does not apply.</v>
      </c>
      <c r="E276" s="326" t="str">
        <f>VLOOKUP($A276,'Case-Specific'!$A$13:$E$85,5,0)&amp;""</f>
        <v>Based on the response to REQU-05 on the "START HERE" tab, this question does not apply to this product or service.</v>
      </c>
      <c r="F276" s="191"/>
      <c r="G276" s="30" t="str">
        <f>VLOOKUP($A276,Questions!$A$2:$X$333,21,0)&amp;""</f>
        <v>Yes</v>
      </c>
      <c r="H276" s="181"/>
      <c r="I276" s="45" t="str">
        <f>VLOOKUP($A276,Questions!$A$2:$X$333,23,0)&amp;""</f>
        <v>Standard Importance</v>
      </c>
      <c r="J276" s="181"/>
      <c r="K276" s="48" t="b">
        <v>0</v>
      </c>
      <c r="L276" s="1"/>
    </row>
    <row r="277" spans="1:12" s="29" customFormat="1" ht="90" x14ac:dyDescent="0.25">
      <c r="A277" s="19" t="str">
        <f>'Case-Specific'!A54</f>
        <v>HIPA-22</v>
      </c>
      <c r="B277" s="20" t="str">
        <f>VLOOKUP($A277,'Case-Specific'!$A$13:$E$85,2,0)&amp;""</f>
        <v>Does the application log administrative activity, such as user account access changes and password changes, including specific user, date/time of changes, and originating IP or device?</v>
      </c>
      <c r="C277" s="45" t="str">
        <f>VLOOKUP($A277,'Case-Specific'!$A$13:$E$85,3,0)&amp;""</f>
        <v/>
      </c>
      <c r="D277" s="34" t="str">
        <f>IF(LEFT(VLOOKUP($A277,'Case-Specific'!$A$13:$E$85,5,0),21)='Auto Responses'!$A$32,'Auto Responses'!$A$33,VLOOKUP($A277,'Case-Specific'!$A$13:$E$85,4,0))&amp;""</f>
        <v>This question does not apply.</v>
      </c>
      <c r="E277" s="326" t="str">
        <f>VLOOKUP($A277,'Case-Specific'!$A$13:$E$85,5,0)&amp;""</f>
        <v>Based on the response to REQU-05 on the "START HERE" tab, this question does not apply to this product or service.</v>
      </c>
      <c r="F277" s="191"/>
      <c r="G277" s="30" t="str">
        <f>VLOOKUP($A277,Questions!$A$2:$X$333,21,0)&amp;""</f>
        <v>Yes</v>
      </c>
      <c r="H277" s="181"/>
      <c r="I277" s="45" t="str">
        <f>VLOOKUP($A277,Questions!$A$2:$X$333,23,0)&amp;""</f>
        <v>Standard Importance</v>
      </c>
      <c r="J277" s="181"/>
      <c r="K277" s="48" t="b">
        <v>0</v>
      </c>
      <c r="L277" s="1"/>
    </row>
    <row r="278" spans="1:12" s="29" customFormat="1" ht="90" x14ac:dyDescent="0.25">
      <c r="A278" s="19" t="str">
        <f>'Case-Specific'!A55</f>
        <v>HIPA-23</v>
      </c>
      <c r="B278" s="20" t="str">
        <f>VLOOKUP($A278,'Case-Specific'!$A$13:$E$85,2,0)&amp;""</f>
        <v>Do you retain logs for at least as long as required by HIPAA regulations?</v>
      </c>
      <c r="C278" s="45" t="str">
        <f>VLOOKUP($A278,'Case-Specific'!$A$13:$E$85,3,0)&amp;""</f>
        <v/>
      </c>
      <c r="D278" s="34" t="str">
        <f>IF(LEFT(VLOOKUP($A278,'Case-Specific'!$A$13:$E$85,5,0),21)='Auto Responses'!$A$32,'Auto Responses'!$A$33,VLOOKUP($A278,'Case-Specific'!$A$13:$E$85,4,0))&amp;""</f>
        <v>This question does not apply.</v>
      </c>
      <c r="E278" s="326" t="str">
        <f>VLOOKUP($A278,'Case-Specific'!$A$13:$E$85,5,0)&amp;""</f>
        <v>Based on the response to REQU-05 on the "START HERE" tab, this question does not apply to this product or service.</v>
      </c>
      <c r="F278" s="191"/>
      <c r="G278" s="30" t="str">
        <f>VLOOKUP($A278,Questions!$A$2:$X$333,21,0)&amp;""</f>
        <v>Yes</v>
      </c>
      <c r="H278" s="181"/>
      <c r="I278" s="45" t="str">
        <f>VLOOKUP($A278,Questions!$A$2:$X$333,23,0)&amp;""</f>
        <v>Standard Importance</v>
      </c>
      <c r="J278" s="181"/>
      <c r="K278" s="48" t="b">
        <v>0</v>
      </c>
      <c r="L278" s="1"/>
    </row>
    <row r="279" spans="1:12" s="29" customFormat="1" ht="90" x14ac:dyDescent="0.25">
      <c r="A279" s="19" t="str">
        <f>'Case-Specific'!A56</f>
        <v>HIPA-24</v>
      </c>
      <c r="B279" s="20" t="str">
        <f>VLOOKUP($A279,'Case-Specific'!$A$13:$E$85,2,0)&amp;""</f>
        <v>Can the application logs be archived?</v>
      </c>
      <c r="C279" s="45" t="str">
        <f>VLOOKUP($A279,'Case-Specific'!$A$13:$E$85,3,0)&amp;""</f>
        <v/>
      </c>
      <c r="D279" s="34" t="str">
        <f>IF(LEFT(VLOOKUP($A279,'Case-Specific'!$A$13:$E$85,5,0),21)='Auto Responses'!$A$32,'Auto Responses'!$A$33,VLOOKUP($A279,'Case-Specific'!$A$13:$E$85,4,0))&amp;""</f>
        <v>This question does not apply.</v>
      </c>
      <c r="E279" s="326" t="str">
        <f>VLOOKUP($A279,'Case-Specific'!$A$13:$E$85,5,0)&amp;""</f>
        <v>Based on the response to REQU-05 on the "START HERE" tab, this question does not apply to this product or service.</v>
      </c>
      <c r="F279" s="191"/>
      <c r="G279" s="30" t="str">
        <f>VLOOKUP($A279,Questions!$A$2:$X$333,21,0)&amp;""</f>
        <v>Yes</v>
      </c>
      <c r="H279" s="181"/>
      <c r="I279" s="45" t="str">
        <f>VLOOKUP($A279,Questions!$A$2:$X$333,23,0)&amp;""</f>
        <v>Standard Importance</v>
      </c>
      <c r="J279" s="181"/>
      <c r="K279" s="48" t="b">
        <v>0</v>
      </c>
      <c r="L279" s="1"/>
    </row>
    <row r="280" spans="1:12" s="29" customFormat="1" ht="90" x14ac:dyDescent="0.25">
      <c r="A280" s="19" t="str">
        <f>'Case-Specific'!A57</f>
        <v>HIPA-25</v>
      </c>
      <c r="B280" s="20" t="str">
        <f>VLOOKUP($A280,'Case-Specific'!$A$13:$E$85,2,0)&amp;""</f>
        <v>Can the application logs be saved externally?</v>
      </c>
      <c r="C280" s="45" t="str">
        <f>VLOOKUP($A280,'Case-Specific'!$A$13:$E$85,3,0)&amp;""</f>
        <v/>
      </c>
      <c r="D280" s="34" t="str">
        <f>IF(LEFT(VLOOKUP($A280,'Case-Specific'!$A$13:$E$85,5,0),21)='Auto Responses'!$A$32,'Auto Responses'!$A$33,VLOOKUP($A280,'Case-Specific'!$A$13:$E$85,4,0))&amp;""</f>
        <v>This question does not apply.</v>
      </c>
      <c r="E280" s="326" t="str">
        <f>VLOOKUP($A280,'Case-Specific'!$A$13:$E$85,5,0)&amp;""</f>
        <v>Based on the response to REQU-05 on the "START HERE" tab, this question does not apply to this product or service.</v>
      </c>
      <c r="F280" s="191"/>
      <c r="G280" s="30" t="str">
        <f>VLOOKUP($A280,Questions!$A$2:$X$333,21,0)&amp;""</f>
        <v>Yes</v>
      </c>
      <c r="H280" s="181"/>
      <c r="I280" s="45" t="str">
        <f>VLOOKUP($A280,Questions!$A$2:$X$333,23,0)&amp;""</f>
        <v>Standard Importance</v>
      </c>
      <c r="J280" s="181"/>
      <c r="K280" s="48" t="b">
        <v>0</v>
      </c>
      <c r="L280" s="1"/>
    </row>
    <row r="281" spans="1:12" s="29" customFormat="1" ht="90" x14ac:dyDescent="0.25">
      <c r="A281" s="19" t="str">
        <f>'Case-Specific'!A58</f>
        <v>HIPA-26</v>
      </c>
      <c r="B281" s="20" t="str">
        <f>VLOOKUP($A281,'Case-Specific'!$A$13:$E$85,2,0)&amp;""</f>
        <v>Do you have a disaster recovery plan and emergency mode operation plan?</v>
      </c>
      <c r="C281" s="45" t="str">
        <f>VLOOKUP($A281,'Case-Specific'!$A$13:$E$85,3,0)&amp;""</f>
        <v/>
      </c>
      <c r="D281" s="34" t="str">
        <f>IF(LEFT(VLOOKUP($A281,'Case-Specific'!$A$13:$E$85,5,0),21)='Auto Responses'!$A$32,'Auto Responses'!$A$33,VLOOKUP($A281,'Case-Specific'!$A$13:$E$85,4,0))&amp;""</f>
        <v>This question does not apply.</v>
      </c>
      <c r="E281" s="326" t="str">
        <f>VLOOKUP($A281,'Case-Specific'!$A$13:$E$85,5,0)&amp;""</f>
        <v>Based on the response to REQU-05 on the "START HERE" tab, this question does not apply to this product or service.</v>
      </c>
      <c r="F281" s="191"/>
      <c r="G281" s="30" t="str">
        <f>VLOOKUP($A281,Questions!$A$2:$X$333,21,0)&amp;""</f>
        <v>Yes</v>
      </c>
      <c r="H281" s="181"/>
      <c r="I281" s="45" t="str">
        <f>VLOOKUP($A281,Questions!$A$2:$X$333,23,0)&amp;""</f>
        <v>Standard Importance</v>
      </c>
      <c r="J281" s="181"/>
      <c r="K281" s="48" t="b">
        <v>0</v>
      </c>
      <c r="L281" s="1"/>
    </row>
    <row r="282" spans="1:12" s="29" customFormat="1" ht="90" x14ac:dyDescent="0.25">
      <c r="A282" s="19" t="str">
        <f>'Case-Specific'!A59</f>
        <v>HIPA-27</v>
      </c>
      <c r="B282" s="20" t="str">
        <f>VLOOKUP($A282,'Case-Specific'!$A$13:$E$85,2,0)&amp;""</f>
        <v>Can you provide a HIPAA compliance attestation document?</v>
      </c>
      <c r="C282" s="45" t="str">
        <f>VLOOKUP($A282,'Case-Specific'!$A$13:$E$85,3,0)&amp;""</f>
        <v/>
      </c>
      <c r="D282" s="34" t="str">
        <f>IF(LEFT(VLOOKUP($A282,'Case-Specific'!$A$13:$E$85,5,0),21)='Auto Responses'!$A$32,'Auto Responses'!$A$33,VLOOKUP($A282,'Case-Specific'!$A$13:$E$85,4,0))&amp;""</f>
        <v>This question does not apply.</v>
      </c>
      <c r="E282" s="326" t="str">
        <f>VLOOKUP($A282,'Case-Specific'!$A$13:$E$85,5,0)&amp;""</f>
        <v>Based on the response to REQU-05 on the "START HERE" tab, this question does not apply to this product or service.</v>
      </c>
      <c r="F282" s="191"/>
      <c r="G282" s="30" t="str">
        <f>VLOOKUP($A282,Questions!$A$2:$X$333,21,0)&amp;""</f>
        <v>Yes</v>
      </c>
      <c r="H282" s="181"/>
      <c r="I282" s="45" t="str">
        <f>VLOOKUP($A282,Questions!$A$2:$X$333,23,0)&amp;""</f>
        <v>Standard Importance</v>
      </c>
      <c r="J282" s="181"/>
      <c r="K282" s="48" t="b">
        <v>0</v>
      </c>
      <c r="L282" s="1"/>
    </row>
    <row r="283" spans="1:12" s="29" customFormat="1" ht="90" x14ac:dyDescent="0.25">
      <c r="A283" s="19" t="str">
        <f>'Case-Specific'!A60</f>
        <v>HIPA-28</v>
      </c>
      <c r="B283" s="20" t="str">
        <f>VLOOKUP($A283,'Case-Specific'!$A$13:$E$85,2,0)&amp;""</f>
        <v>Are you willing to enter into a Business Associate Agreement (BAA)?</v>
      </c>
      <c r="C283" s="45" t="str">
        <f>VLOOKUP($A283,'Case-Specific'!$A$13:$E$85,3,0)&amp;""</f>
        <v/>
      </c>
      <c r="D283" s="34" t="str">
        <f>IF(LEFT(VLOOKUP($A283,'Case-Specific'!$A$13:$E$85,5,0),21)='Auto Responses'!$A$32,'Auto Responses'!$A$33,VLOOKUP($A283,'Case-Specific'!$A$13:$E$85,4,0))&amp;""</f>
        <v>This question does not apply.</v>
      </c>
      <c r="E283" s="326" t="str">
        <f>VLOOKUP($A283,'Case-Specific'!$A$13:$E$85,5,0)&amp;""</f>
        <v>Based on the response to REQU-05 on the "START HERE" tab, this question does not apply to this product or service.</v>
      </c>
      <c r="F283" s="191"/>
      <c r="G283" s="30" t="str">
        <f>VLOOKUP($A283,Questions!$A$2:$X$333,21,0)&amp;""</f>
        <v>Yes</v>
      </c>
      <c r="H283" s="181"/>
      <c r="I283" s="45" t="str">
        <f>VLOOKUP($A283,Questions!$A$2:$X$333,23,0)&amp;""</f>
        <v>Standard Importance</v>
      </c>
      <c r="J283" s="181"/>
      <c r="K283" s="48" t="b">
        <v>0</v>
      </c>
      <c r="L283" s="1"/>
    </row>
    <row r="284" spans="1:12" s="29" customFormat="1" ht="90" x14ac:dyDescent="0.25">
      <c r="A284" s="19" t="str">
        <f>'Case-Specific'!A61</f>
        <v>HIPA-29</v>
      </c>
      <c r="B284" s="20" t="str">
        <f>VLOOKUP($A284,'Case-Specific'!$A$13:$E$85,2,0)&amp;""</f>
        <v>Do your data backup and retention policies and practices meet HIPAA requirements?</v>
      </c>
      <c r="C284" s="45" t="str">
        <f>VLOOKUP($A284,'Case-Specific'!$A$13:$E$85,3,0)&amp;""</f>
        <v/>
      </c>
      <c r="D284" s="34" t="str">
        <f>IF(LEFT(VLOOKUP($A284,'Case-Specific'!$A$13:$E$85,5,0),21)='Auto Responses'!$A$32,'Auto Responses'!$A$33,VLOOKUP($A284,'Case-Specific'!$A$13:$E$85,4,0))&amp;""</f>
        <v>This question does not apply.</v>
      </c>
      <c r="E284" s="326" t="str">
        <f>VLOOKUP($A284,'Case-Specific'!$A$13:$E$85,5,0)&amp;""</f>
        <v>Based on the response to REQU-05 on the "START HERE" tab, this question does not apply to this product or service.</v>
      </c>
      <c r="F284" s="191"/>
      <c r="G284" s="30" t="str">
        <f>VLOOKUP($A284,Questions!$A$2:$X$333,21,0)&amp;""</f>
        <v>Yes</v>
      </c>
      <c r="H284" s="181"/>
      <c r="I284" s="45" t="str">
        <f>VLOOKUP($A284,Questions!$A$2:$X$333,23,0)&amp;""</f>
        <v>Minor Importance</v>
      </c>
      <c r="J284" s="181"/>
      <c r="K284" s="48" t="b">
        <v>0</v>
      </c>
      <c r="L284" s="1"/>
    </row>
    <row r="285" spans="1:12" s="1" customFormat="1" ht="17.5" x14ac:dyDescent="0.25">
      <c r="A285" s="63" t="str">
        <f>VLOOKUP(LEFT($A286,4),'Auto Responses'!$N$4:$O$38,2,0)&amp;""</f>
        <v xml:space="preserve"> Payment Card Industry Data Security Standard (PCI DSS)</v>
      </c>
      <c r="B285" s="22"/>
      <c r="C285" s="31"/>
      <c r="D285" s="31"/>
      <c r="E285" s="327"/>
      <c r="F285" s="128" t="s">
        <v>632</v>
      </c>
      <c r="G285" s="331" t="s">
        <v>627</v>
      </c>
      <c r="H285" s="331" t="s">
        <v>628</v>
      </c>
      <c r="I285" s="331" t="s">
        <v>629</v>
      </c>
      <c r="J285" s="331" t="s">
        <v>630</v>
      </c>
      <c r="K285" s="331" t="s">
        <v>631</v>
      </c>
    </row>
    <row r="286" spans="1:12" s="29" customFormat="1" ht="90" x14ac:dyDescent="0.25">
      <c r="A286" s="19" t="str">
        <f>'Case-Specific'!A63</f>
        <v>PCID-01</v>
      </c>
      <c r="B286" s="20" t="str">
        <f>VLOOKUP($A286,'Case-Specific'!$A$13:$E$85,2,0)&amp;""</f>
        <v>Do you have a current, executed within the past year, Attestation of Compliance (AoC) or Report on Compliance (RoC)?*</v>
      </c>
      <c r="C286" s="45" t="str">
        <f>VLOOKUP($A286,'Case-Specific'!$A$13:$E$85,3,0)&amp;""</f>
        <v/>
      </c>
      <c r="D286" s="34" t="str">
        <f>IF(LEFT(VLOOKUP($A286,'Case-Specific'!$A$13:$E$85,5,0),21)='Auto Responses'!$A$32,'Auto Responses'!$A$33,VLOOKUP($A286,'Case-Specific'!$A$13:$E$85,4,0))&amp;""</f>
        <v>This question does not apply.</v>
      </c>
      <c r="E286" s="326" t="str">
        <f>VLOOKUP($A286,'Case-Specific'!$A$13:$E$85,5,0)&amp;""</f>
        <v>Based on the response to REQU-06 on the "START HERE" tab, this question does not apply to this product or service.</v>
      </c>
      <c r="F286" s="191"/>
      <c r="G286" s="30" t="str">
        <f>VLOOKUP($A286,Questions!$A$2:$X$333,21,0)&amp;""</f>
        <v>Yes</v>
      </c>
      <c r="H286" s="181"/>
      <c r="I286" s="45" t="str">
        <f>VLOOKUP($A286,Questions!$A$2:$X$333,23,0)&amp;""</f>
        <v>Critical Importance</v>
      </c>
      <c r="J286" s="181"/>
      <c r="K286" s="48" t="b">
        <v>0</v>
      </c>
      <c r="L286" s="1"/>
    </row>
    <row r="287" spans="1:12" s="29" customFormat="1" ht="90" x14ac:dyDescent="0.25">
      <c r="A287" s="19" t="str">
        <f>'Case-Specific'!A64</f>
        <v>PCID-02</v>
      </c>
      <c r="B287" s="20" t="str">
        <f>VLOOKUP($A287,'Case-Specific'!$A$13:$E$85,2,0)&amp;""</f>
        <v>Is the application listed as an approved Payment Application Data Security Standard (PA-DSS) application?*</v>
      </c>
      <c r="C287" s="45" t="str">
        <f>VLOOKUP($A287,'Case-Specific'!$A$13:$E$85,3,0)&amp;""</f>
        <v/>
      </c>
      <c r="D287" s="34" t="str">
        <f>IF(LEFT(VLOOKUP($A287,'Case-Specific'!$A$13:$E$85,5,0),21)='Auto Responses'!$A$32,'Auto Responses'!$A$33,VLOOKUP($A287,'Case-Specific'!$A$13:$E$85,4,0))&amp;""</f>
        <v>This question does not apply.</v>
      </c>
      <c r="E287" s="326" t="str">
        <f>VLOOKUP($A287,'Case-Specific'!$A$13:$E$85,5,0)&amp;""</f>
        <v>Based on the response to REQU-06 on the "START HERE" tab, this question does not apply to this product or service.</v>
      </c>
      <c r="F287" s="191"/>
      <c r="G287" s="30" t="str">
        <f>VLOOKUP($A287,Questions!$A$2:$X$333,21,0)&amp;""</f>
        <v>No</v>
      </c>
      <c r="H287" s="181"/>
      <c r="I287" s="45" t="str">
        <f>VLOOKUP($A287,Questions!$A$2:$X$333,23,0)&amp;""</f>
        <v>Critical Importance</v>
      </c>
      <c r="J287" s="181"/>
      <c r="K287" s="48" t="b">
        <v>0</v>
      </c>
      <c r="L287" s="1"/>
    </row>
    <row r="288" spans="1:12" s="29" customFormat="1" ht="90" x14ac:dyDescent="0.25">
      <c r="A288" s="19" t="str">
        <f>'Case-Specific'!A65</f>
        <v>PCID-03</v>
      </c>
      <c r="B288" s="20" t="str">
        <f>VLOOKUP($A288,'Case-Specific'!$A$13:$E$85,2,0)&amp;""</f>
        <v>Does the system or solutions use a third party to collect, store, process, or transmit cardholder (payment/credit/debt card) data?*</v>
      </c>
      <c r="C288" s="45" t="str">
        <f>VLOOKUP($A288,'Case-Specific'!$A$13:$E$85,3,0)&amp;""</f>
        <v/>
      </c>
      <c r="D288" s="34" t="str">
        <f>IF(LEFT(VLOOKUP($A288,'Case-Specific'!$A$13:$E$85,5,0),21)='Auto Responses'!$A$32,'Auto Responses'!$A$33,VLOOKUP($A288,'Case-Specific'!$A$13:$E$85,4,0))&amp;""</f>
        <v>This question does not apply.</v>
      </c>
      <c r="E288" s="326" t="str">
        <f>VLOOKUP($A288,'Case-Specific'!$A$13:$E$85,5,0)&amp;""</f>
        <v>Based on the response to REQU-06 on the "START HERE" tab, this question does not apply to this product or service.</v>
      </c>
      <c r="F288" s="191"/>
      <c r="G288" s="30" t="str">
        <f>VLOOKUP($A288,Questions!$A$2:$X$333,21,0)&amp;""</f>
        <v>No</v>
      </c>
      <c r="H288" s="181"/>
      <c r="I288" s="45" t="str">
        <f>VLOOKUP($A288,Questions!$A$2:$X$333,23,0)&amp;""</f>
        <v>Critical Importance</v>
      </c>
      <c r="J288" s="181"/>
      <c r="K288" s="48" t="b">
        <v>0</v>
      </c>
      <c r="L288" s="1"/>
    </row>
    <row r="289" spans="1:12" s="29" customFormat="1" ht="90" x14ac:dyDescent="0.25">
      <c r="A289" s="19" t="str">
        <f>'Case-Specific'!A66</f>
        <v>PCID-04</v>
      </c>
      <c r="B289" s="20" t="str">
        <f>VLOOKUP($A289,'Case-Specific'!$A$13:$E$85,2,0)&amp;""</f>
        <v>Do your systems or solutions store, process, or transmit cardholder (payment/credit/debt card) data?</v>
      </c>
      <c r="C289" s="45" t="str">
        <f>VLOOKUP($A289,'Case-Specific'!$A$13:$E$85,3,0)&amp;""</f>
        <v/>
      </c>
      <c r="D289" s="34" t="str">
        <f>IF(LEFT(VLOOKUP($A289,'Case-Specific'!$A$13:$E$85,5,0),21)='Auto Responses'!$A$32,'Auto Responses'!$A$33,VLOOKUP($A289,'Case-Specific'!$A$13:$E$85,4,0))&amp;""</f>
        <v>This question does not apply.</v>
      </c>
      <c r="E289" s="326" t="str">
        <f>VLOOKUP($A289,'Case-Specific'!$A$13:$E$85,5,0)&amp;""</f>
        <v>Based on the response to REQU-06 on the "START HERE" tab, this question does not apply to this product or service.</v>
      </c>
      <c r="F289" s="191"/>
      <c r="G289" s="30" t="str">
        <f>VLOOKUP($A289,Questions!$A$2:$X$333,21,0)&amp;""</f>
        <v>Yes</v>
      </c>
      <c r="H289" s="181"/>
      <c r="I289" s="45" t="str">
        <f>VLOOKUP($A289,Questions!$A$2:$X$333,23,0)&amp;""</f>
        <v>Standard Importance</v>
      </c>
      <c r="J289" s="181"/>
      <c r="K289" s="48" t="b">
        <v>0</v>
      </c>
      <c r="L289" s="1"/>
    </row>
    <row r="290" spans="1:12" s="29" customFormat="1" ht="90" x14ac:dyDescent="0.25">
      <c r="A290" s="19" t="str">
        <f>'Case-Specific'!A67</f>
        <v>PCID-05</v>
      </c>
      <c r="B290" s="20" t="str">
        <f>VLOOKUP($A290,'Case-Specific'!$A$13:$E$85,2,0)&amp;""</f>
        <v>Are you compliant with the Payment Card Industry Data Security Standard (PCI DSS)?</v>
      </c>
      <c r="C290" s="45" t="str">
        <f>VLOOKUP($A290,'Case-Specific'!$A$13:$E$85,3,0)&amp;""</f>
        <v/>
      </c>
      <c r="D290" s="34" t="str">
        <f>IF(LEFT(VLOOKUP($A290,'Case-Specific'!$A$13:$E$85,5,0),21)='Auto Responses'!$A$32,'Auto Responses'!$A$33,VLOOKUP($A290,'Case-Specific'!$A$13:$E$85,4,0))&amp;""</f>
        <v>This question does not apply.</v>
      </c>
      <c r="E290" s="326" t="str">
        <f>VLOOKUP($A290,'Case-Specific'!$A$13:$E$85,5,0)&amp;""</f>
        <v>Based on the response to REQU-06 on the "START HERE" tab, this question does not apply to this product or service.</v>
      </c>
      <c r="F290" s="191"/>
      <c r="G290" s="30" t="str">
        <f>VLOOKUP($A290,Questions!$A$2:$X$333,21,0)&amp;""</f>
        <v>Yes</v>
      </c>
      <c r="H290" s="181"/>
      <c r="I290" s="45" t="str">
        <f>VLOOKUP($A290,Questions!$A$2:$X$333,23,0)&amp;""</f>
        <v>Standard Importance</v>
      </c>
      <c r="J290" s="181"/>
      <c r="K290" s="48" t="b">
        <v>0</v>
      </c>
      <c r="L290" s="1"/>
    </row>
    <row r="291" spans="1:12" s="29" customFormat="1" ht="90" x14ac:dyDescent="0.25">
      <c r="A291" s="19" t="str">
        <f>'Case-Specific'!A68</f>
        <v>PCID-06</v>
      </c>
      <c r="B291" s="20" t="str">
        <f>VLOOKUP($A291,'Case-Specific'!$A$13:$E$85,2,0)&amp;""</f>
        <v>Are you classified as a service provider?</v>
      </c>
      <c r="C291" s="45" t="str">
        <f>VLOOKUP($A291,'Case-Specific'!$A$13:$E$85,3,0)&amp;""</f>
        <v/>
      </c>
      <c r="D291" s="34" t="str">
        <f>IF(LEFT(VLOOKUP($A291,'Case-Specific'!$A$13:$E$85,5,0),21)='Auto Responses'!$A$32,'Auto Responses'!$A$33,VLOOKUP($A291,'Case-Specific'!$A$13:$E$85,4,0))&amp;""</f>
        <v>This question does not apply.</v>
      </c>
      <c r="E291" s="326" t="str">
        <f>VLOOKUP($A291,'Case-Specific'!$A$13:$E$85,5,0)&amp;""</f>
        <v>Based on the response to REQU-06 on the "START HERE" tab, this question does not apply to this product or service.</v>
      </c>
      <c r="F291" s="191"/>
      <c r="G291" s="30" t="str">
        <f>VLOOKUP($A291,Questions!$A$2:$X$333,21,0)&amp;""</f>
        <v>Yes</v>
      </c>
      <c r="H291" s="181"/>
      <c r="I291" s="45" t="str">
        <f>VLOOKUP($A291,Questions!$A$2:$X$333,23,0)&amp;""</f>
        <v>Standard Importance</v>
      </c>
      <c r="J291" s="181"/>
      <c r="K291" s="48" t="b">
        <v>0</v>
      </c>
      <c r="L291" s="1"/>
    </row>
    <row r="292" spans="1:12" s="29" customFormat="1" ht="90" x14ac:dyDescent="0.25">
      <c r="A292" s="19" t="str">
        <f>'Case-Specific'!A69</f>
        <v>PCID-07</v>
      </c>
      <c r="B292" s="20" t="str">
        <f>VLOOKUP($A292,'Case-Specific'!$A$13:$E$85,2,0)&amp;""</f>
        <v>Are you on the list of Visa approved service providers?</v>
      </c>
      <c r="C292" s="45" t="str">
        <f>VLOOKUP($A292,'Case-Specific'!$A$13:$E$85,3,0)&amp;""</f>
        <v/>
      </c>
      <c r="D292" s="34" t="str">
        <f>IF(LEFT(VLOOKUP($A292,'Case-Specific'!$A$13:$E$85,5,0),21)='Auto Responses'!$A$32,'Auto Responses'!$A$33,VLOOKUP($A292,'Case-Specific'!$A$13:$E$85,4,0))&amp;""</f>
        <v>This question does not apply.</v>
      </c>
      <c r="E292" s="326" t="str">
        <f>VLOOKUP($A292,'Case-Specific'!$A$13:$E$85,5,0)&amp;""</f>
        <v>Based on the response to REQU-06 on the "START HERE" tab, this question does not apply to this product or service.</v>
      </c>
      <c r="F292" s="191"/>
      <c r="G292" s="30" t="str">
        <f>VLOOKUP($A292,Questions!$A$2:$X$333,21,0)&amp;""</f>
        <v>Yes</v>
      </c>
      <c r="H292" s="181"/>
      <c r="I292" s="45" t="str">
        <f>VLOOKUP($A292,Questions!$A$2:$X$333,23,0)&amp;""</f>
        <v>Standard Importance</v>
      </c>
      <c r="J292" s="181"/>
      <c r="K292" s="48" t="b">
        <v>0</v>
      </c>
      <c r="L292" s="1"/>
    </row>
    <row r="293" spans="1:12" s="29" customFormat="1" ht="90" x14ac:dyDescent="0.25">
      <c r="A293" s="19" t="str">
        <f>'Case-Specific'!A70</f>
        <v>PCID-08</v>
      </c>
      <c r="B293" s="20" t="str">
        <f>VLOOKUP($A293,'Case-Specific'!$A$13:$E$85,2,0)&amp;""</f>
        <v>Are you classified as a merchant? If so, what level (1, 2, 3, 4)?</v>
      </c>
      <c r="C293" s="45" t="str">
        <f>VLOOKUP($A293,'Case-Specific'!$A$13:$E$85,3,0)&amp;""</f>
        <v/>
      </c>
      <c r="D293" s="34" t="str">
        <f>IF(LEFT(VLOOKUP($A293,'Case-Specific'!$A$13:$E$85,5,0),21)='Auto Responses'!$A$32,'Auto Responses'!$A$33,VLOOKUP($A293,'Case-Specific'!$A$13:$E$85,4,0))&amp;""</f>
        <v>This question does not apply.</v>
      </c>
      <c r="E293" s="326" t="str">
        <f>VLOOKUP($A293,'Case-Specific'!$A$13:$E$85,5,0)&amp;""</f>
        <v>Based on the response to REQU-06 on the "START HERE" tab, this question does not apply to this product or service.</v>
      </c>
      <c r="F293" s="191"/>
      <c r="G293" s="30" t="str">
        <f>VLOOKUP($A293,Questions!$A$2:$X$333,21,0)&amp;""</f>
        <v>Yes</v>
      </c>
      <c r="H293" s="181"/>
      <c r="I293" s="45" t="str">
        <f>VLOOKUP($A293,Questions!$A$2:$X$333,23,0)&amp;""</f>
        <v>Standard Importance</v>
      </c>
      <c r="J293" s="181"/>
      <c r="K293" s="48" t="b">
        <v>0</v>
      </c>
      <c r="L293" s="1"/>
    </row>
    <row r="294" spans="1:12" s="29" customFormat="1" ht="90" x14ac:dyDescent="0.25">
      <c r="A294" s="19" t="str">
        <f>'Case-Specific'!A71</f>
        <v>PCID-09</v>
      </c>
      <c r="B294" s="20" t="str">
        <f>VLOOKUP($A294,'Case-Specific'!$A$13:$E$85,2,0)&amp;""</f>
        <v>Describe the architecture employed by the system to verify and authorize credit card transactions.</v>
      </c>
      <c r="C294" s="301" t="str">
        <f>VLOOKUP($A294,'Case-Specific'!$A$13:$E$85,3,0)&amp;""</f>
        <v/>
      </c>
      <c r="D294" s="300" t="str">
        <f>IF(LEFT(VLOOKUP($A294,'Case-Specific'!$A$13:$E$85,5,0),21)='Auto Responses'!$A$32,'Auto Responses'!$A$33,VLOOKUP($A294,'Case-Specific'!$A$13:$E$85,4,0))&amp;""</f>
        <v>This question does not apply.</v>
      </c>
      <c r="E294" s="326" t="str">
        <f>VLOOKUP($A294,'Case-Specific'!$A$13:$E$85,5,0)&amp;""</f>
        <v>Based on the response to REQU-06 on the "START HERE" tab, this question does not apply to this product or service.</v>
      </c>
      <c r="F294" s="191"/>
      <c r="G294" s="30" t="str">
        <f>VLOOKUP($A294,Questions!$A$2:$X$333,21,0)&amp;""</f>
        <v>Not scored</v>
      </c>
      <c r="H294" s="181"/>
      <c r="I294" s="45" t="str">
        <f>VLOOKUP($A294,Questions!$A$2:$X$333,23,0)&amp;""</f>
        <v/>
      </c>
      <c r="J294" s="181"/>
      <c r="K294" s="48" t="b">
        <v>0</v>
      </c>
      <c r="L294" s="1"/>
    </row>
    <row r="295" spans="1:12" s="29" customFormat="1" ht="90" x14ac:dyDescent="0.25">
      <c r="A295" s="19" t="str">
        <f>'Case-Specific'!A72</f>
        <v>PCID-10</v>
      </c>
      <c r="B295" s="20" t="str">
        <f>VLOOKUP($A295,'Case-Specific'!$A$13:$E$85,2,0)&amp;""</f>
        <v>What payment processors/gateways does the system support?</v>
      </c>
      <c r="C295" s="45" t="str">
        <f>VLOOKUP($A295,'Case-Specific'!$A$13:$E$85,3,0)&amp;""</f>
        <v/>
      </c>
      <c r="D295" s="34" t="str">
        <f>IF(LEFT(VLOOKUP($A295,'Case-Specific'!$A$13:$E$85,5,0),21)='Auto Responses'!$A$32,'Auto Responses'!$A$33,VLOOKUP($A295,'Case-Specific'!$A$13:$E$85,4,0))&amp;""</f>
        <v>This question does not apply.</v>
      </c>
      <c r="E295" s="326" t="str">
        <f>VLOOKUP($A295,'Case-Specific'!$A$13:$E$85,5,0)&amp;""</f>
        <v>Based on the response to REQU-06 on the "START HERE" tab, this question does not apply to this product or service.</v>
      </c>
      <c r="F295" s="191"/>
      <c r="G295" s="30" t="str">
        <f>VLOOKUP($A295,Questions!$A$2:$X$333,21,0)&amp;""</f>
        <v>Not scored</v>
      </c>
      <c r="H295" s="181"/>
      <c r="I295" s="45" t="str">
        <f>VLOOKUP($A295,Questions!$A$2:$X$333,23,0)&amp;""</f>
        <v/>
      </c>
      <c r="J295" s="181"/>
      <c r="K295" s="48" t="b">
        <v>0</v>
      </c>
      <c r="L295" s="1"/>
    </row>
    <row r="296" spans="1:12" s="29" customFormat="1" ht="90" x14ac:dyDescent="0.25">
      <c r="A296" s="19" t="str">
        <f>'Case-Specific'!A73</f>
        <v>PCID-11</v>
      </c>
      <c r="B296" s="20" t="str">
        <f>VLOOKUP($A296,'Case-Specific'!$A$13:$E$85,2,0)&amp;""</f>
        <v>Can the application be installed in a PCI DSS–compliant manner?</v>
      </c>
      <c r="C296" s="45" t="str">
        <f>VLOOKUP($A296,'Case-Specific'!$A$13:$E$85,3,0)&amp;""</f>
        <v/>
      </c>
      <c r="D296" s="34" t="str">
        <f>IF(LEFT(VLOOKUP($A296,'Case-Specific'!$A$13:$E$85,5,0),21)='Auto Responses'!$A$32,'Auto Responses'!$A$33,VLOOKUP($A296,'Case-Specific'!$A$13:$E$85,4,0))&amp;""</f>
        <v>This question does not apply.</v>
      </c>
      <c r="E296" s="326" t="str">
        <f>VLOOKUP($A296,'Case-Specific'!$A$13:$E$85,5,0)&amp;""</f>
        <v>Based on the response to REQU-06 on the "START HERE" tab, this question does not apply to this product or service.</v>
      </c>
      <c r="F296" s="191"/>
      <c r="G296" s="30" t="str">
        <f>VLOOKUP($A296,Questions!$A$2:$X$333,21,0)&amp;""</f>
        <v>Yes</v>
      </c>
      <c r="H296" s="181"/>
      <c r="I296" s="45" t="str">
        <f>VLOOKUP($A296,Questions!$A$2:$X$333,23,0)&amp;""</f>
        <v>Minor Importance</v>
      </c>
      <c r="J296" s="181"/>
      <c r="K296" s="48" t="b">
        <v>0</v>
      </c>
      <c r="L296" s="1"/>
    </row>
    <row r="297" spans="1:12" s="29" customFormat="1" ht="90" x14ac:dyDescent="0.25">
      <c r="A297" s="19" t="str">
        <f>'Case-Specific'!A74</f>
        <v>PCID-12</v>
      </c>
      <c r="B297" s="20" t="str">
        <f>VLOOKUP($A297,'Case-Specific'!$A$13:$E$85,2,0)&amp;""</f>
        <v>Include documentation describing the system's abilities to comply with the PCI DSS and any features or capabilities of the system that must be added or changed in order to operate in compliance with the standards.</v>
      </c>
      <c r="C297" s="301" t="str">
        <f>VLOOKUP($A297,'Case-Specific'!$A$13:$E$85,3,0)&amp;""</f>
        <v/>
      </c>
      <c r="D297" s="300" t="str">
        <f>IF(LEFT(VLOOKUP($A297,'Case-Specific'!$A$13:$E$85,5,0),21)='Auto Responses'!$A$32,'Auto Responses'!$A$33,VLOOKUP($A297,'Case-Specific'!$A$13:$E$85,4,0))&amp;""</f>
        <v>This question does not apply.</v>
      </c>
      <c r="E297" s="326" t="str">
        <f>VLOOKUP($A297,'Case-Specific'!$A$13:$E$85,5,0)&amp;""</f>
        <v>Based on the response to REQU-06 on the "START HERE" tab, this question does not apply to this product or service.</v>
      </c>
      <c r="F297" s="191"/>
      <c r="G297" s="30" t="str">
        <f>VLOOKUP($A297,Questions!$A$2:$X$333,21,0)&amp;""</f>
        <v>Not scored</v>
      </c>
      <c r="H297" s="181"/>
      <c r="I297" s="45" t="str">
        <f>VLOOKUP($A297,Questions!$A$2:$X$333,23,0)&amp;""</f>
        <v/>
      </c>
      <c r="J297" s="181"/>
      <c r="K297" s="48" t="b">
        <v>0</v>
      </c>
      <c r="L297" s="1"/>
    </row>
    <row r="298" spans="1:12" s="1" customFormat="1" ht="17.5" x14ac:dyDescent="0.25">
      <c r="A298" s="63" t="str">
        <f>VLOOKUP(LEFT($A299,4),'Auto Responses'!$N$4:$O$38,2,0)&amp;""</f>
        <v xml:space="preserve"> On-Premises Data Solutions</v>
      </c>
      <c r="B298" s="22"/>
      <c r="C298" s="31"/>
      <c r="D298" s="31"/>
      <c r="E298" s="327"/>
      <c r="F298" s="128" t="s">
        <v>632</v>
      </c>
      <c r="G298" s="331" t="s">
        <v>627</v>
      </c>
      <c r="H298" s="331" t="s">
        <v>628</v>
      </c>
      <c r="I298" s="331" t="s">
        <v>629</v>
      </c>
      <c r="J298" s="331" t="s">
        <v>630</v>
      </c>
      <c r="K298" s="331" t="s">
        <v>631</v>
      </c>
    </row>
    <row r="299" spans="1:12" s="29" customFormat="1" ht="90" x14ac:dyDescent="0.25">
      <c r="A299" s="19" t="str">
        <f>'Case-Specific'!A76</f>
        <v>OPEM-01</v>
      </c>
      <c r="B299" s="20" t="str">
        <f>VLOOKUP($A299,'Case-Specific'!$A$13:$E$85,2,0)&amp;""</f>
        <v>Do you support role-based access control (RBAC) for system administrators?</v>
      </c>
      <c r="C299" s="45" t="str">
        <f>VLOOKUP($A299,'Case-Specific'!$A$13:$E$85,3,0)&amp;""</f>
        <v/>
      </c>
      <c r="D299" s="34" t="str">
        <f>IF(LEFT(VLOOKUP($A299,'Case-Specific'!$A$13:$E$85,5,0),21)='Auto Responses'!$A$32,'Auto Responses'!$A$33,VLOOKUP($A299,'Case-Specific'!$A$13:$E$85,4,0))&amp;""</f>
        <v>This question does not apply.</v>
      </c>
      <c r="E299" s="326" t="str">
        <f>VLOOKUP($A299,'Case-Specific'!$A$13:$E$85,5,0)&amp;""</f>
        <v>Based on the response to REQU-07 on the "START HERE" tab, this question does not apply to this product or service.</v>
      </c>
      <c r="F299" s="191"/>
      <c r="G299" s="30" t="str">
        <f>VLOOKUP($A299,Questions!$A$2:$X$333,21,0)&amp;""</f>
        <v>Yes</v>
      </c>
      <c r="H299" s="181"/>
      <c r="I299" s="45" t="str">
        <f>VLOOKUP($A299,Questions!$A$2:$X$333,23,0)&amp;""</f>
        <v>Standard Importance</v>
      </c>
      <c r="J299" s="181"/>
      <c r="K299" s="48" t="b">
        <v>0</v>
      </c>
      <c r="L299" s="1"/>
    </row>
    <row r="300" spans="1:12" s="29" customFormat="1" ht="90" x14ac:dyDescent="0.25">
      <c r="A300" s="19" t="str">
        <f>'Case-Specific'!A77</f>
        <v>OPEM-02</v>
      </c>
      <c r="B300" s="20" t="str">
        <f>VLOOKUP($A300,'Case-Specific'!$A$13:$E$85,2,0)&amp;""</f>
        <v>Can your employees access customer systems remotely?</v>
      </c>
      <c r="C300" s="45" t="str">
        <f>VLOOKUP($A300,'Case-Specific'!$A$13:$E$85,3,0)&amp;""</f>
        <v/>
      </c>
      <c r="D300" s="34" t="str">
        <f>IF(LEFT(VLOOKUP($A300,'Case-Specific'!$A$13:$E$85,5,0),21)='Auto Responses'!$A$32,'Auto Responses'!$A$33,VLOOKUP($A300,'Case-Specific'!$A$13:$E$85,4,0))&amp;""</f>
        <v>This question does not apply.</v>
      </c>
      <c r="E300" s="326" t="str">
        <f>VLOOKUP($A300,'Case-Specific'!$A$13:$E$85,5,0)&amp;""</f>
        <v>Based on the response to REQU-07 on the "START HERE" tab, this question does not apply to this product or service.</v>
      </c>
      <c r="F300" s="191"/>
      <c r="G300" s="30" t="str">
        <f>VLOOKUP($A300,Questions!$A$2:$X$333,21,0)&amp;""</f>
        <v>No</v>
      </c>
      <c r="H300" s="181"/>
      <c r="I300" s="45" t="str">
        <f>VLOOKUP($A300,Questions!$A$2:$X$333,23,0)&amp;""</f>
        <v>Standard Importance</v>
      </c>
      <c r="J300" s="181"/>
      <c r="K300" s="48" t="b">
        <v>0</v>
      </c>
      <c r="L300" s="1"/>
    </row>
    <row r="301" spans="1:12" s="29" customFormat="1" ht="90" x14ac:dyDescent="0.25">
      <c r="A301" s="19" t="str">
        <f>'Case-Specific'!A78</f>
        <v>OPEM-03</v>
      </c>
      <c r="B301" s="20" t="str">
        <f>VLOOKUP($A301,'Case-Specific'!$A$13:$E$85,2,0)&amp;""</f>
        <v>Can you provide overall system and/or application architecture diagrams including a full description of the data communications architecture for all components of the system?</v>
      </c>
      <c r="C301" s="45" t="str">
        <f>VLOOKUP($A301,'Case-Specific'!$A$13:$E$85,3,0)&amp;""</f>
        <v/>
      </c>
      <c r="D301" s="34" t="str">
        <f>IF(LEFT(VLOOKUP($A301,'Case-Specific'!$A$13:$E$85,5,0),21)='Auto Responses'!$A$32,'Auto Responses'!$A$33,VLOOKUP($A301,'Case-Specific'!$A$13:$E$85,4,0))&amp;""</f>
        <v>This question does not apply.</v>
      </c>
      <c r="E301" s="326" t="str">
        <f>VLOOKUP($A301,'Case-Specific'!$A$13:$E$85,5,0)&amp;""</f>
        <v>Based on the response to REQU-07 on the "START HERE" tab, this question does not apply to this product or service.</v>
      </c>
      <c r="F301" s="191"/>
      <c r="G301" s="30" t="str">
        <f>VLOOKUP($A301,Questions!$A$2:$X$333,21,0)&amp;""</f>
        <v>Yes</v>
      </c>
      <c r="H301" s="181"/>
      <c r="I301" s="45" t="str">
        <f>VLOOKUP($A301,Questions!$A$2:$X$333,23,0)&amp;""</f>
        <v>Standard Importance</v>
      </c>
      <c r="J301" s="181"/>
      <c r="K301" s="48" t="b">
        <v>0</v>
      </c>
      <c r="L301" s="1"/>
    </row>
    <row r="302" spans="1:12" s="29" customFormat="1" ht="90" x14ac:dyDescent="0.25">
      <c r="A302" s="19" t="str">
        <f>'Case-Specific'!A79</f>
        <v>OPEM-04</v>
      </c>
      <c r="B302" s="20" t="str">
        <f>VLOOKUP($A302,'Case-Specific'!$A$13:$E$85,2,0)&amp;""</f>
        <v>Do you require remote management of the system?</v>
      </c>
      <c r="C302" s="45" t="str">
        <f>VLOOKUP($A302,'Case-Specific'!$A$13:$E$85,3,0)&amp;""</f>
        <v/>
      </c>
      <c r="D302" s="34" t="str">
        <f>IF(LEFT(VLOOKUP($A302,'Case-Specific'!$A$13:$E$85,5,0),21)='Auto Responses'!$A$32,'Auto Responses'!$A$33,VLOOKUP($A302,'Case-Specific'!$A$13:$E$85,4,0))&amp;""</f>
        <v>This question does not apply.</v>
      </c>
      <c r="E302" s="326" t="str">
        <f>VLOOKUP($A302,'Case-Specific'!$A$13:$E$85,5,0)&amp;""</f>
        <v>Based on the response to REQU-07 on the "START HERE" tab, this question does not apply to this product or service.</v>
      </c>
      <c r="F302" s="191"/>
      <c r="G302" s="30" t="str">
        <f>VLOOKUP($A302,Questions!$A$2:$X$333,21,0)&amp;""</f>
        <v>No</v>
      </c>
      <c r="H302" s="181"/>
      <c r="I302" s="45" t="str">
        <f>VLOOKUP($A302,Questions!$A$2:$X$333,23,0)&amp;""</f>
        <v>Standard Importance</v>
      </c>
      <c r="J302" s="181"/>
      <c r="K302" s="48" t="b">
        <v>0</v>
      </c>
      <c r="L302" s="1"/>
    </row>
    <row r="303" spans="1:12" s="29" customFormat="1" ht="90" x14ac:dyDescent="0.25">
      <c r="A303" s="19" t="str">
        <f>'Case-Specific'!A80</f>
        <v>OPEM-05</v>
      </c>
      <c r="B303" s="20" t="str">
        <f>VLOOKUP($A303,'Case-Specific'!$A$13:$E$85,2,0)&amp;""</f>
        <v>If you answered "yes" to OPEM-04, are your remote actions and changes logged or otherwise visible to the campus?</v>
      </c>
      <c r="C303" s="45" t="str">
        <f>VLOOKUP($A303,'Case-Specific'!$A$13:$E$85,3,0)&amp;""</f>
        <v/>
      </c>
      <c r="D303" s="34" t="str">
        <f>IF(LEFT(VLOOKUP($A303,'Case-Specific'!$A$13:$E$85,5,0),21)='Auto Responses'!$A$32,'Auto Responses'!$A$33,VLOOKUP($A303,'Case-Specific'!$A$13:$E$85,4,0))&amp;""</f>
        <v>This question does not apply.</v>
      </c>
      <c r="E303" s="326" t="str">
        <f>VLOOKUP($A303,'Case-Specific'!$A$13:$E$85,5,0)&amp;""</f>
        <v>Based on the response to REQU-07 on the "START HERE" tab, this question does not apply to this product or service.</v>
      </c>
      <c r="F303" s="191"/>
      <c r="G303" s="30" t="str">
        <f>VLOOKUP($A303,Questions!$A$2:$X$333,21,0)&amp;""</f>
        <v>Yes</v>
      </c>
      <c r="H303" s="181"/>
      <c r="I303" s="45" t="str">
        <f>VLOOKUP($A303,Questions!$A$2:$X$333,23,0)&amp;""</f>
        <v>Standard Importance</v>
      </c>
      <c r="J303" s="181"/>
      <c r="K303" s="48" t="b">
        <v>0</v>
      </c>
      <c r="L303" s="1"/>
    </row>
    <row r="304" spans="1:12" s="29" customFormat="1" ht="90" x14ac:dyDescent="0.25">
      <c r="A304" s="19" t="str">
        <f>'Case-Specific'!A81</f>
        <v>OPEM-06</v>
      </c>
      <c r="B304" s="20" t="str">
        <f>VLOOKUP($A304,'Case-Specific'!$A$13:$E$85,2,0)&amp;""</f>
        <v>If you maintain remote access to the system, will you handle data in a FERPA-compliant manner?</v>
      </c>
      <c r="C304" s="45" t="str">
        <f>VLOOKUP($A304,'Case-Specific'!$A$13:$E$85,3,0)&amp;""</f>
        <v/>
      </c>
      <c r="D304" s="34" t="str">
        <f>IF(LEFT(VLOOKUP($A304,'Case-Specific'!$A$13:$E$85,5,0),21)='Auto Responses'!$A$32,'Auto Responses'!$A$33,VLOOKUP($A304,'Case-Specific'!$A$13:$E$85,4,0))&amp;""</f>
        <v>This question does not apply.</v>
      </c>
      <c r="E304" s="326" t="str">
        <f>VLOOKUP($A304,'Case-Specific'!$A$13:$E$85,5,0)&amp;""</f>
        <v>Based on the response to REQU-07 on the "START HERE" tab, this question does not apply to this product or service.</v>
      </c>
      <c r="F304" s="191"/>
      <c r="G304" s="30" t="str">
        <f>VLOOKUP($A304,Questions!$A$2:$X$333,21,0)&amp;""</f>
        <v>Yes</v>
      </c>
      <c r="H304" s="181"/>
      <c r="I304" s="45" t="str">
        <f>VLOOKUP($A304,Questions!$A$2:$X$333,23,0)&amp;""</f>
        <v>Standard Importance</v>
      </c>
      <c r="J304" s="181"/>
      <c r="K304" s="48" t="b">
        <v>0</v>
      </c>
      <c r="L304" s="1"/>
    </row>
    <row r="305" spans="1:12" s="29" customFormat="1" ht="90" x14ac:dyDescent="0.25">
      <c r="A305" s="19" t="str">
        <f>'Case-Specific'!A82</f>
        <v>OPEM-07</v>
      </c>
      <c r="B305" s="20" t="str">
        <f>VLOOKUP($A305,'Case-Specific'!$A$13:$E$85,2,0)&amp;""</f>
        <v>Do you support campus status monitoring through SNMPv3 or other means?</v>
      </c>
      <c r="C305" s="45" t="str">
        <f>VLOOKUP($A305,'Case-Specific'!$A$13:$E$85,3,0)&amp;""</f>
        <v/>
      </c>
      <c r="D305" s="34" t="str">
        <f>IF(LEFT(VLOOKUP($A305,'Case-Specific'!$A$13:$E$85,5,0),21)='Auto Responses'!$A$32,'Auto Responses'!$A$33,VLOOKUP($A305,'Case-Specific'!$A$13:$E$85,4,0))&amp;""</f>
        <v>This question does not apply.</v>
      </c>
      <c r="E305" s="328" t="str">
        <f>VLOOKUP($A305,'Case-Specific'!$A$13:$E$85,5,0)&amp;""</f>
        <v>Based on the response to REQU-07 on the "START HERE" tab, this question does not apply to this product or service.</v>
      </c>
      <c r="F305" s="191"/>
      <c r="G305" s="30" t="str">
        <f>VLOOKUP($A305,Questions!$A$2:$X$333,21,0)&amp;""</f>
        <v>Yes</v>
      </c>
      <c r="H305" s="181"/>
      <c r="I305" s="45" t="str">
        <f>VLOOKUP($A305,Questions!$A$2:$X$333,23,0)&amp;""</f>
        <v>Standard Importance</v>
      </c>
      <c r="J305" s="181"/>
      <c r="K305" s="48" t="b">
        <v>0</v>
      </c>
      <c r="L305" s="1"/>
    </row>
    <row r="306" spans="1:12" s="29" customFormat="1" ht="90" x14ac:dyDescent="0.25">
      <c r="A306" s="19" t="str">
        <f>'Case-Specific'!A83</f>
        <v>OPEM-08</v>
      </c>
      <c r="B306" s="20" t="str">
        <f>VLOOKUP($A306,'Case-Specific'!$A$13:$E$85,2,0)&amp;""</f>
        <v>Describe or provide a reference to any other safeguards used to monitor for malicious activity.</v>
      </c>
      <c r="C306" s="301" t="str">
        <f>VLOOKUP($A306,'Case-Specific'!$A$13:$E$85,3,0)&amp;""</f>
        <v/>
      </c>
      <c r="D306" s="302" t="str">
        <f>IF(LEFT(VLOOKUP($A306,'Case-Specific'!$A$13:$E$85,5,0),21)='Auto Responses'!$A$32,'Auto Responses'!$A$33,VLOOKUP($A306,'Case-Specific'!$A$13:$E$85,4,0))&amp;""</f>
        <v>This question does not apply.</v>
      </c>
      <c r="E306" s="328" t="str">
        <f>VLOOKUP($A306,'Case-Specific'!$A$13:$E$85,5,0)&amp;""</f>
        <v>Based on the response to REQU-07 on the "START HERE" tab, this question does not apply to this product or service.</v>
      </c>
      <c r="F306" s="191"/>
      <c r="G306" s="30" t="str">
        <f>VLOOKUP($A306,Questions!$A$2:$X$333,21,0)&amp;""</f>
        <v>Not scored</v>
      </c>
      <c r="H306" s="181"/>
      <c r="I306" s="45" t="str">
        <f>VLOOKUP($A306,Questions!$A$2:$X$333,23,0)&amp;""</f>
        <v/>
      </c>
      <c r="J306" s="181"/>
      <c r="K306" s="48" t="b">
        <v>0</v>
      </c>
      <c r="L306" s="1"/>
    </row>
    <row r="307" spans="1:12" s="29" customFormat="1" ht="90" x14ac:dyDescent="0.25">
      <c r="A307" s="19" t="str">
        <f>'Case-Specific'!A84</f>
        <v>OPEM-09</v>
      </c>
      <c r="B307" s="20" t="str">
        <f>VLOOKUP($A307,'Case-Specific'!$A$13:$E$85,2,0)&amp;""</f>
        <v>Describe how long your organization has conducted business in this area.</v>
      </c>
      <c r="C307" s="301" t="str">
        <f>VLOOKUP($A307,'Case-Specific'!$A$13:$E$85,3,0)&amp;""</f>
        <v/>
      </c>
      <c r="D307" s="302" t="str">
        <f>IF(LEFT(VLOOKUP($A307,'Case-Specific'!$A$13:$E$85,5,0),21)='Auto Responses'!$A$32,'Auto Responses'!$A$33,VLOOKUP($A307,'Case-Specific'!$A$13:$E$85,4,0))&amp;""</f>
        <v>This question does not apply.</v>
      </c>
      <c r="E307" s="328" t="str">
        <f>VLOOKUP($A307,'Case-Specific'!$A$13:$E$85,5,0)&amp;""</f>
        <v>Based on the response to REQU-07 on the "START HERE" tab, this question does not apply to this product or service.</v>
      </c>
      <c r="F307" s="191"/>
      <c r="G307" s="30" t="str">
        <f>VLOOKUP($A307,Questions!$A$2:$X$333,21,0)&amp;""</f>
        <v>Not scored</v>
      </c>
      <c r="H307" s="181"/>
      <c r="I307" s="45" t="str">
        <f>VLOOKUP($A307,Questions!$A$2:$X$333,23,0)&amp;""</f>
        <v/>
      </c>
      <c r="J307" s="181"/>
      <c r="K307" s="48" t="b">
        <v>0</v>
      </c>
      <c r="L307" s="1"/>
    </row>
    <row r="308" spans="1:12" s="29" customFormat="1" ht="90.5" thickBot="1" x14ac:dyDescent="0.3">
      <c r="A308" s="19" t="str">
        <f>'Case-Specific'!A85</f>
        <v>OPEM-10</v>
      </c>
      <c r="B308" s="20" t="str">
        <f>VLOOKUP($A308,'Case-Specific'!$A$13:$E$85,2,0)&amp;""</f>
        <v>Do you have existing higher education customers?</v>
      </c>
      <c r="C308" s="45" t="str">
        <f>VLOOKUP($A308,'Case-Specific'!$A$13:$E$85,3,0)&amp;""</f>
        <v/>
      </c>
      <c r="D308" s="34" t="str">
        <f>IF(LEFT(VLOOKUP($A308,'Case-Specific'!$A$13:$E$85,5,0),21)='Auto Responses'!$A$32,'Auto Responses'!$A$33,VLOOKUP($A308,'Case-Specific'!$A$13:$E$85,4,0))&amp;""</f>
        <v>This question does not apply.</v>
      </c>
      <c r="E308" s="328" t="str">
        <f>VLOOKUP($A308,'Case-Specific'!$A$13:$E$85,5,0)&amp;""</f>
        <v>Based on the response to REQU-07 on the "START HERE" tab, this question does not apply to this product or service.</v>
      </c>
      <c r="F308" s="191"/>
      <c r="G308" s="30" t="str">
        <f>VLOOKUP($A308,Questions!$A$2:$X$333,21,0)&amp;""</f>
        <v>Yes</v>
      </c>
      <c r="H308" s="181"/>
      <c r="I308" s="45" t="str">
        <f>VLOOKUP($A308,Questions!$A$2:$X$333,23,0)&amp;""</f>
        <v>Minor Importance</v>
      </c>
      <c r="J308" s="181"/>
      <c r="K308" s="49" t="b">
        <v>0</v>
      </c>
      <c r="L308" s="1"/>
    </row>
    <row r="309" spans="1:12" s="1" customFormat="1" ht="17.5" x14ac:dyDescent="0.25">
      <c r="A309" s="63" t="str">
        <f>VLOOKUP(LEFT($A310,4),'Auto Responses'!$N$4:$O$38,2,0)&amp;""</f>
        <v xml:space="preserve"> AI Qualifying Questions</v>
      </c>
      <c r="B309" s="22"/>
      <c r="C309" s="31"/>
      <c r="D309" s="31"/>
      <c r="E309" s="327"/>
      <c r="F309" s="128" t="s">
        <v>632</v>
      </c>
      <c r="G309" s="331" t="s">
        <v>627</v>
      </c>
      <c r="H309" s="331" t="s">
        <v>628</v>
      </c>
      <c r="I309" s="331" t="s">
        <v>629</v>
      </c>
      <c r="J309" s="331" t="s">
        <v>630</v>
      </c>
      <c r="K309" s="331" t="s">
        <v>631</v>
      </c>
    </row>
    <row r="310" spans="1:12" s="29" customFormat="1" ht="315" x14ac:dyDescent="0.25">
      <c r="A310" s="19" t="str">
        <f>AI!$A$20</f>
        <v>AIQU-01</v>
      </c>
      <c r="B310" s="20" t="str">
        <f>VLOOKUP($A310,AI!$A$13:$E$55,2,0)&amp;""</f>
        <v>Does your solution leverage machine learning (ML) or do you plan to do so in the next 12 months?</v>
      </c>
      <c r="C310" s="45" t="str">
        <f>VLOOKUP($A310,AI!$A$13:$E$55,3,0)&amp;""</f>
        <v>Yes</v>
      </c>
      <c r="D310" s="34" t="str">
        <f>IF(LEFT(VLOOKUP($A310,AI!$A$13:$E$55,5,0),21)='Auto Responses'!$A$32,'Auto Responses'!$A$33,VLOOKUP($A310,AI!$A$13:$E$55,4,0))&amp;""</f>
        <v>Preservica's optional AI-assisted capabilities are built on machine learning models that are pre-trained by their original providers or open-source projects before Preservica integrates them. Preservica does not control or supplement those training datasets and does not train or fine-tune any model itself. Underlying models may be changed over time provided equivalent security, privacy and trust controls are maintained.</v>
      </c>
      <c r="E310" s="326" t="str">
        <f>VLOOKUP($A310,AI!$A$13:$E$55,5,0)&amp;""</f>
        <v>DO complete the Machine Learning section (AIML)</v>
      </c>
      <c r="F310" s="191"/>
      <c r="G310" s="30" t="str">
        <f>VLOOKUP($A310,Questions!$A$2:$X$333,21,0)&amp;""</f>
        <v>Not scored</v>
      </c>
      <c r="H310" s="181"/>
      <c r="I310" s="45" t="str">
        <f>VLOOKUP($A310,Questions!$A$2:$X$333,23,0)&amp;""</f>
        <v/>
      </c>
      <c r="J310" s="181"/>
      <c r="K310" s="48" t="b">
        <v>0</v>
      </c>
      <c r="L310" s="1"/>
    </row>
    <row r="311" spans="1:12" s="29" customFormat="1" ht="150" x14ac:dyDescent="0.25">
      <c r="A311" s="19" t="str">
        <f>AI!$A$21</f>
        <v>AIQU-02</v>
      </c>
      <c r="B311" s="20" t="str">
        <f>VLOOKUP($A311,AI!$A$13:$E$55,2,0)&amp;""</f>
        <v>Does your solution leverage a large language model (LLM) or do you plan to do so in the next 12 months?</v>
      </c>
      <c r="C311" s="45" t="str">
        <f>VLOOKUP($A311,AI!$A$13:$E$55,3,0)&amp;""</f>
        <v>No</v>
      </c>
      <c r="D311" s="34" t="str">
        <f>IF(LEFT(VLOOKUP($A311,AI!$A$13:$E$55,5,0),21)='Auto Responses'!$A$32,'Auto Responses'!$A$33,VLOOKUP($A311,AI!$A$13:$E$55,4,0))&amp;""</f>
        <v>Preservica currently leverages a mix of machine learning based models and small language models to deliver its AI features. We have no intention of offering a large language model within Preservica at this time.</v>
      </c>
      <c r="E311" s="326" t="str">
        <f>VLOOKUP($A311,AI!$A$13:$E$55,5,0)&amp;""</f>
        <v>DO NOT complete the Large Language Model section (AILM)</v>
      </c>
      <c r="F311" s="191"/>
      <c r="G311" s="30" t="str">
        <f>VLOOKUP($A311,Questions!$A$2:$X$333,21,0)&amp;""</f>
        <v>Not scored</v>
      </c>
      <c r="H311" s="181"/>
      <c r="I311" s="45" t="str">
        <f>VLOOKUP($A311,Questions!$A$2:$X$333,23,0)&amp;""</f>
        <v/>
      </c>
      <c r="J311" s="181"/>
      <c r="K311" s="48" t="b">
        <v>0</v>
      </c>
      <c r="L311" s="1"/>
    </row>
    <row r="312" spans="1:12" s="1" customFormat="1" ht="17.5" x14ac:dyDescent="0.25">
      <c r="A312" s="63" t="str">
        <f>VLOOKUP(LEFT($A313,4),'Auto Responses'!$N$4:$O$38,2,0)&amp;""</f>
        <v xml:space="preserve"> General AI Questions</v>
      </c>
      <c r="B312" s="22"/>
      <c r="C312" s="31"/>
      <c r="D312" s="31"/>
      <c r="E312" s="327"/>
      <c r="F312" s="128" t="s">
        <v>632</v>
      </c>
      <c r="G312" s="331" t="s">
        <v>627</v>
      </c>
      <c r="H312" s="331" t="s">
        <v>628</v>
      </c>
      <c r="I312" s="331" t="s">
        <v>629</v>
      </c>
      <c r="J312" s="331" t="s">
        <v>630</v>
      </c>
      <c r="K312" s="331" t="s">
        <v>631</v>
      </c>
    </row>
    <row r="313" spans="1:12" s="29" customFormat="1" ht="409.5" x14ac:dyDescent="0.25">
      <c r="A313" s="19" t="str">
        <f>AI!$A$23</f>
        <v>AIGN-01</v>
      </c>
      <c r="B313" s="20" t="str">
        <f>VLOOKUP($A313,AI!$A$13:$E$55,2,0)&amp;""</f>
        <v>Does your solution have an AI risk model when developing or implementing your solution's AI model?*</v>
      </c>
      <c r="C313" s="45" t="str">
        <f>VLOOKUP($A313,AI!$A$13:$E$55,3,0)&amp;""</f>
        <v>Yes</v>
      </c>
      <c r="D313" s="34" t="str">
        <f>IF(LEFT(VLOOKUP($A313,AI!$A$13:$E$55,5,0),21)='Auto Responses'!$A$32,'Auto Responses'!$A$33,VLOOKUP($A313,AI!$A$13:$E$55,4,0))&amp;""</f>
        <v>AI capabilities are assessed within Preservica's established risk management programme, which covers all corporate operations including the Preservica service, operates within Preservica's certified management systems and is independently audited. Risks are assessed on a likelihood and impact basis, and every risk is reviewed at least annually or more frequently where the residual risk level requires it. System designs, including those for AI-assisted capabilities, are assessed against the OWASP Top 10 (2025) categories during the design phase and are peer-reviewed at technical review meetings that include an Information Security representative. Preservica acts as a Deployer of AI systems under Regulation (EU) 2024/1689, selecting and integrating models for defined low-risk use cases, applying safeguards and maintaining human oversight.</v>
      </c>
      <c r="E313" s="326" t="str">
        <f>VLOOKUP($A313,AI!$A$13:$E$55,5,0)&amp;""</f>
        <v>Provide the AI risk framework, model, or methodology used.</v>
      </c>
      <c r="F313" s="191"/>
      <c r="G313" s="30" t="str">
        <f>VLOOKUP($A313,Questions!$A$2:$X$333,21,0)&amp;""</f>
        <v>Yes</v>
      </c>
      <c r="H313" s="181"/>
      <c r="I313" s="45" t="str">
        <f>VLOOKUP($A313,Questions!$A$2:$X$333,23,0)&amp;""</f>
        <v>Critical Importance</v>
      </c>
      <c r="J313" s="181"/>
      <c r="K313" s="48" t="b">
        <v>0</v>
      </c>
      <c r="L313" s="1"/>
    </row>
    <row r="314" spans="1:12" s="29" customFormat="1" ht="330" x14ac:dyDescent="0.25">
      <c r="A314" s="19" t="str">
        <f>AI!$A$24</f>
        <v>AIGN-02</v>
      </c>
      <c r="B314" s="20" t="str">
        <f>VLOOKUP($A314,AI!$A$13:$E$55,2,0)&amp;""</f>
        <v>Can your solution's AI features be disabled by tenant and/or user?*</v>
      </c>
      <c r="C314" s="45" t="str">
        <f>VLOOKUP($A314,AI!$A$13:$E$55,3,0)&amp;""</f>
        <v>Yes</v>
      </c>
      <c r="D314" s="34" t="str">
        <f>IF(LEFT(VLOOKUP($A314,AI!$A$13:$E$55,5,0),21)='Auto Responses'!$A$32,'Auto Responses'!$A$33,VLOOKUP($A314,AI!$A$13:$E$55,4,0))&amp;""</f>
        <v>AI-assisted capabilities are disabled by default and no AI processing occurs unless a customer explicitly enables it. Once enabled, access can be further restricted to named users through administrative control and the platform's standard role-based access control, so that AI capabilities are available only to authorised users and defined use cases. Role permissions can additionally be scoped to specific content, and customers can define custom roles.</v>
      </c>
      <c r="E314" s="326" t="str">
        <f>VLOOKUP($A314,AI!$A$13:$E$55,5,0)&amp;""</f>
        <v>Describe the level of AI feature control at the institutional and user level.</v>
      </c>
      <c r="F314" s="191"/>
      <c r="G314" s="30" t="str">
        <f>VLOOKUP($A314,Questions!$A$2:$X$333,21,0)&amp;""</f>
        <v>Yes</v>
      </c>
      <c r="H314" s="181"/>
      <c r="I314" s="45" t="str">
        <f>VLOOKUP($A314,Questions!$A$2:$X$333,23,0)&amp;""</f>
        <v>Critical Importance</v>
      </c>
      <c r="J314" s="181"/>
      <c r="K314" s="48" t="b">
        <v>0</v>
      </c>
      <c r="L314" s="1"/>
    </row>
    <row r="315" spans="1:12" s="29" customFormat="1" ht="390" x14ac:dyDescent="0.25">
      <c r="A315" s="19" t="str">
        <f>AI!$A$25</f>
        <v>AIGN-03</v>
      </c>
      <c r="B315" s="20" t="str">
        <f>VLOOKUP($A315,AI!$A$13:$E$55,2,0)&amp;""</f>
        <v>Have your staff completed responsible AI training?*</v>
      </c>
      <c r="C315" s="45" t="str">
        <f>VLOOKUP($A315,AI!$A$13:$E$55,3,0)&amp;""</f>
        <v>Yes</v>
      </c>
      <c r="D315" s="34" t="str">
        <f>IF(LEFT(VLOOKUP($A315,AI!$A$13:$E$55,5,0),21)='Auto Responses'!$A$32,'Auto Responses'!$A$33,VLOOKUP($A315,AI!$A$13:$E$55,4,0))&amp;""</f>
        <v>Preservica delivers role-aligned training covering AI awareness and literacy, responsible use of AI, information security, and data protection obligations, as part of its wider security and compliance training programme. AI literacy is maintained as an obligation of Preservica's role as a Deployer of AI systems under Regulation (EU) 2024/1689. Core policies are read and acknowledged by all staff on hire and annually thereafter, with additional role-specific policies applying to development and product teams.</v>
      </c>
      <c r="E315" s="326" t="str">
        <f>VLOOKUP($A315,AI!$A$13:$E$55,5,0)&amp;""</f>
        <v>Provide the following details about your responsible AI training program: learning objectives, frequency, alignment with standards (e.g., NIST), and who is required to complete the training.</v>
      </c>
      <c r="F315" s="191"/>
      <c r="G315" s="30" t="str">
        <f>VLOOKUP($A315,Questions!$A$2:$X$333,21,0)&amp;""</f>
        <v>Yes</v>
      </c>
      <c r="H315" s="181"/>
      <c r="I315" s="45" t="str">
        <f>VLOOKUP($A315,Questions!$A$2:$X$333,23,0)&amp;""</f>
        <v>Critical Importance</v>
      </c>
      <c r="J315" s="181"/>
      <c r="K315" s="48" t="b">
        <v>0</v>
      </c>
      <c r="L315" s="1"/>
    </row>
    <row r="316" spans="1:12" s="29" customFormat="1" ht="409.5" x14ac:dyDescent="0.25">
      <c r="A316" s="19" t="str">
        <f>AI!$A$26</f>
        <v>AIGN-04</v>
      </c>
      <c r="B316" s="20" t="str">
        <f>VLOOKUP($A316,AI!$A$13:$E$55,2,0)&amp;""</f>
        <v>Please describe the capabilities of your solution's AI features.</v>
      </c>
      <c r="C316" s="301" t="str">
        <f>VLOOKUP($A316,AI!$A$13:$E$55,3,0)&amp;""</f>
        <v/>
      </c>
      <c r="D316" s="302" t="str">
        <f>IF(LEFT(VLOOKUP($A316,AI!$A$13:$E$55,5,0),21)='Auto Responses'!$A$32,'Auto Responses'!$A$33,VLOOKUP($A316,AI!$A$13:$E$55,4,0))&amp;""</f>
        <v>Preservica provides optional, opt-in AI-assisted capabilities that support archival and preservation workflows on content the customer is ingesting or has already ingested into the platform. Current capabilities are: optical character recognition, to make text in scanned images searchable; identification of personally identifiable information, to help customers locate sensitive content ahead of access or disclosure decisions; image description, to generate descriptive text for still images; audio and video transcription, to produce searchable text from time-based media; and metadata quality checking, to standardize inconsistent metadata values across collections and correct typos. The goal is to reduce manual cataloguing and review effort and to improve discoverability and access decision-making across large collections. Optical character recognition, identification of personally identifiable information, audio and video transcription, and metadata quality check are performed within the Preservica service using open-source technologies. Image description temporarily uses vision model services provided by the same cloud provider that already hosts the customer's environment. In an upcoming release, image description will be updated to also be performed within the Preservica service using open-source technologies. Underlying models may change over time provided equivalent security, privacy and trust controls are maintained. Outputs are presented to the customer for human review and are not acted on autonomously; customers retain control over whether AI capabilities are enabled, what content is submitted, and how outputs are used.</v>
      </c>
      <c r="E316" s="326" t="str">
        <f>VLOOKUP($A316,AI!$A$13:$E$55,5,0)&amp;""</f>
        <v>Describe capabilities such as content (text, image, audio, speech, video, or code) generation, visual interpretation, and predictive analytics. This encompasses all AI implementations, including third-party AI features. Clarify use cases or limits of the model.</v>
      </c>
      <c r="F316" s="191"/>
      <c r="G316" s="30" t="str">
        <f>VLOOKUP($A316,Questions!$A$2:$X$333,21,0)&amp;""</f>
        <v>Not scored</v>
      </c>
      <c r="H316" s="181"/>
      <c r="I316" s="45" t="str">
        <f>VLOOKUP($A316,Questions!$A$2:$X$333,23,0)&amp;""</f>
        <v/>
      </c>
      <c r="J316" s="181"/>
      <c r="K316" s="48" t="b">
        <v>0</v>
      </c>
      <c r="L316" s="1"/>
    </row>
    <row r="317" spans="1:12" s="29" customFormat="1" ht="409.5" x14ac:dyDescent="0.25">
      <c r="A317" s="19" t="str">
        <f>AI!$A$27</f>
        <v>AIGN-05</v>
      </c>
      <c r="B317" s="20" t="str">
        <f>VLOOKUP($A317,AI!$A$13:$E$55,2,0)&amp;""</f>
        <v>Does your solution support business rules to protect sensitive data from being ingested by the AI model?</v>
      </c>
      <c r="C317" s="45" t="str">
        <f>VLOOKUP($A317,AI!$A$13:$E$55,3,0)&amp;""</f>
        <v>Yes</v>
      </c>
      <c r="D317" s="34" t="str">
        <f>IF(LEFT(VLOOKUP($A317,AI!$A$13:$E$55,5,0),21)='Auto Responses'!$A$32,'Auto Responses'!$A$33,VLOOKUP($A317,AI!$A$13:$E$55,4,0))&amp;""</f>
        <v>Customers determine what content, if any, is submitted for AI processing. AI-assisted capabilities are disabled by default and are enabled selectively by users with a specific role. Role permissions can be scoped to specific content using customer-defined Security Tags, so content the customer has designated as sensitive can be placed outside the scope of workflows able to invoke AI processing. Customers may also apply metadata, including custom metadata schemas, to organise content for this purpose. Preservica does not prescribe or restrict the types of data customers store, and customers remain responsible for determining the classification and sensitivity of their own content.</v>
      </c>
      <c r="E317" s="326" t="str">
        <f>VLOOKUP($A317,AI!$A$13:$E$55,5,0)&amp;""</f>
        <v>Provide data loss prevention (DLP) features as they relate to your AI offerings. Indicate whether these DLP rules are configurable at the institutional and/or user level.</v>
      </c>
      <c r="F317" s="191"/>
      <c r="G317" s="30" t="str">
        <f>VLOOKUP($A317,Questions!$A$2:$X$333,21,0)&amp;""</f>
        <v>Yes</v>
      </c>
      <c r="H317" s="181"/>
      <c r="I317" s="45" t="str">
        <f>VLOOKUP($A317,Questions!$A$2:$X$333,23,0)&amp;""</f>
        <v>Standard Importance</v>
      </c>
      <c r="J317" s="181"/>
      <c r="K317" s="48" t="b">
        <v>0</v>
      </c>
      <c r="L317" s="1"/>
    </row>
    <row r="318" spans="1:12" s="1" customFormat="1" ht="17.5" x14ac:dyDescent="0.25">
      <c r="A318" s="63" t="str">
        <f>VLOOKUP(LEFT($A319,4),'Auto Responses'!$N$4:$O$38,2,0)&amp;""</f>
        <v xml:space="preserve"> AI Policy</v>
      </c>
      <c r="B318" s="22"/>
      <c r="C318" s="31"/>
      <c r="D318" s="31"/>
      <c r="E318" s="327"/>
      <c r="F318" s="128" t="s">
        <v>632</v>
      </c>
      <c r="G318" s="331" t="s">
        <v>627</v>
      </c>
      <c r="H318" s="331" t="s">
        <v>628</v>
      </c>
      <c r="I318" s="331" t="s">
        <v>629</v>
      </c>
      <c r="J318" s="331" t="s">
        <v>630</v>
      </c>
      <c r="K318" s="331" t="s">
        <v>631</v>
      </c>
    </row>
    <row r="319" spans="1:12" s="29" customFormat="1" ht="409.5" x14ac:dyDescent="0.25">
      <c r="A319" s="19" t="str">
        <f>AI!$A$29</f>
        <v>AIPL-01</v>
      </c>
      <c r="B319" s="20" t="str">
        <f>VLOOKUP($A319,AI!$A$13:$E$55,2,0)&amp;""</f>
        <v>Are your AI developer's policies, processes, procedures, and practices across the organization related to the mapping, measuring, and managing of AI risks conspicuously posted, unambiguous, and implemented effectively?*</v>
      </c>
      <c r="C319" s="45" t="str">
        <f>VLOOKUP($A319,AI!$A$13:$E$55,3,0)&amp;""</f>
        <v>Yes</v>
      </c>
      <c r="D319" s="34" t="str">
        <f>IF(LEFT(VLOOKUP($A319,AI!$A$13:$E$55,5,0),21)='Auto Responses'!$A$32,'Auto Responses'!$A$33,VLOOKUP($A319,AI!$A$13:$E$55,4,0))&amp;""</f>
        <v>Preservica maintains an AI policy within its Information Security Management System, alongside its Information Security, Secure Development, Data Protection, Access Control and related policies. Every policy has an assigned owner and approver and is reviewed at least annually, on material change in the environment, or following an incident. Staff read and acknowledge core policies on hire and annually thereafter, with additional role-specific policies applying to development and product teams. Effective implementation is evidenced through Preservica's certifications and independent audit reports, including ISO/IEC 27001:2022 and an annual SOC 2 Type II audit; certificates and compliance documentation are available via Preservica's Trust Center at https://preservica.com/trust-center. The full document register can be shared with prospective customers under non-disclosure agreement, or with existing customers under the audit provisions of their agreement.</v>
      </c>
      <c r="E319" s="326" t="str">
        <f>VLOOKUP($A319,AI!$A$13:$E$55,5,0)&amp;""</f>
        <v/>
      </c>
      <c r="F319" s="191"/>
      <c r="G319" s="30" t="str">
        <f>VLOOKUP($A319,Questions!$A$2:$X$333,21,0)&amp;""</f>
        <v>Yes</v>
      </c>
      <c r="H319" s="181"/>
      <c r="I319" s="45" t="str">
        <f>VLOOKUP($A319,Questions!$A$2:$X$333,23,0)&amp;""</f>
        <v>Critical Importance</v>
      </c>
      <c r="J319" s="181"/>
      <c r="K319" s="48" t="b">
        <v>0</v>
      </c>
      <c r="L319" s="1"/>
    </row>
    <row r="320" spans="1:12" s="29" customFormat="1" ht="409.5" x14ac:dyDescent="0.25">
      <c r="A320" s="19" t="str">
        <f>AI!$A$30</f>
        <v>AIPL-02</v>
      </c>
      <c r="B320" s="20" t="str">
        <f>VLOOKUP($A320,AI!$A$13:$E$55,2,0)&amp;""</f>
        <v>Have you identified and measured AI risks?*</v>
      </c>
      <c r="C320" s="45" t="str">
        <f>VLOOKUP($A320,AI!$A$13:$E$55,3,0)&amp;""</f>
        <v>Yes</v>
      </c>
      <c r="D320" s="34" t="str">
        <f>IF(LEFT(VLOOKUP($A320,AI!$A$13:$E$55,5,0),21)='Auto Responses'!$A$32,'Auto Responses'!$A$33,VLOOKUP($A320,AI!$A$13:$E$55,4,0))&amp;""</f>
        <v>AI-related risks are identified and assessed within Preservica's risk management programme, which covers the Preservica service alongside all other corporate operations, operates within Preservica's certified management systems, and is independently audited. Risks are assessed on a likelihood and impact basis, with information security asset risks additionally assessed for impact on confidentiality, integrity and availability. Every risk is reviewed at least annually, or more frequently where the residual risk level requires it. Risks assessed above tolerance must be terminated, transferred or mitigated. AI-specific risks, including prompt injection and comparable model-manipulation risks, are addressed by restricting capabilities to clearly defined use cases, maintaining human oversight of outputs, and applying configuration controls. The Chief Information Security Officer manages the programme day to day.</v>
      </c>
      <c r="E320" s="326" t="str">
        <f>VLOOKUP($A320,AI!$A$13:$E$55,5,0)&amp;""</f>
        <v>Provide the standard or framework used to identify and measure AI risk.</v>
      </c>
      <c r="F320" s="191"/>
      <c r="G320" s="30" t="str">
        <f>VLOOKUP($A320,Questions!$A$2:$X$333,21,0)&amp;""</f>
        <v>Yes</v>
      </c>
      <c r="H320" s="181"/>
      <c r="I320" s="45" t="str">
        <f>VLOOKUP($A320,Questions!$A$2:$X$333,23,0)&amp;""</f>
        <v>Critical Importance</v>
      </c>
      <c r="J320" s="181"/>
      <c r="K320" s="48" t="b">
        <v>0</v>
      </c>
      <c r="L320" s="1"/>
    </row>
    <row r="321" spans="1:12" s="29" customFormat="1" ht="409.5" x14ac:dyDescent="0.25">
      <c r="A321" s="19" t="str">
        <f>AI!$A$31</f>
        <v>AIPL-03</v>
      </c>
      <c r="B321" s="20" t="str">
        <f>VLOOKUP($A321,AI!$A$13:$E$55,2,0)&amp;""</f>
        <v>In the event of an incident, can your solution's AI features be disabled in a timely manner?*</v>
      </c>
      <c r="C321" s="45" t="str">
        <f>VLOOKUP($A321,AI!$A$13:$E$55,3,0)&amp;""</f>
        <v>Yes</v>
      </c>
      <c r="D321" s="34" t="str">
        <f>IF(LEFT(VLOOKUP($A321,AI!$A$13:$E$55,5,0),21)='Auto Responses'!$A$32,'Auto Responses'!$A$33,VLOOKUP($A321,AI!$A$13:$E$55,4,0))&amp;""</f>
        <v>AI-assisted capabilities are configuration-controlled and off by default, so they can be turned off promptly at tenant level, and access can be withdrawn from individual users through role-based access control. No AI capability operates autonomously, so disabling one does not interrupt preservation or access to content already held in the platform. Preservica maintains an Incident Management Policy supported by a cyber incident response plan with scenario-specific playbooks and a crisis management communications plan, with defined severity classification and escalation paths; a full response exercise is conducted at least annually.</v>
      </c>
      <c r="E321" s="326" t="str">
        <f>VLOOKUP($A321,AI!$A$13:$E$55,5,0)&amp;""</f>
        <v>Provide documentation on how to disable AI features. Include a time estimate for the time between disabling the feature and when the feature is inaccessible to users.</v>
      </c>
      <c r="F321" s="191"/>
      <c r="G321" s="30" t="str">
        <f>VLOOKUP($A321,Questions!$A$2:$X$333,21,0)&amp;""</f>
        <v>Yes</v>
      </c>
      <c r="H321" s="181"/>
      <c r="I321" s="45" t="str">
        <f>VLOOKUP($A321,Questions!$A$2:$X$333,23,0)&amp;""</f>
        <v>Critical Importance</v>
      </c>
      <c r="J321" s="181"/>
      <c r="K321" s="48" t="b">
        <v>0</v>
      </c>
      <c r="L321" s="1"/>
    </row>
    <row r="322" spans="1:12" s="29" customFormat="1" ht="390" x14ac:dyDescent="0.25">
      <c r="A322" s="19" t="str">
        <f>AI!$A$32</f>
        <v>AIPL-04</v>
      </c>
      <c r="B322" s="20" t="str">
        <f>VLOOKUP($A322,AI!$A$13:$E$55,2,0)&amp;""</f>
        <v>If disabled because of an incident, can your solution's AI features be re-enabled in a timely manner?*</v>
      </c>
      <c r="C322" s="45" t="str">
        <f>VLOOKUP($A322,AI!$A$13:$E$55,3,0)&amp;""</f>
        <v>Yes</v>
      </c>
      <c r="D322" s="34" t="str">
        <f>IF(LEFT(VLOOKUP($A322,AI!$A$13:$E$55,5,0),21)='Auto Responses'!$A$32,'Auto Responses'!$A$33,VLOOKUP($A322,AI!$A$13:$E$55,4,0))&amp;""</f>
        <v>Because AI-assisted capabilities are governed by configuration and role-based access control rather than by code changes, they can be re-enabled as promptly as they were disabled, once the conditions that prompted the change have been resolved. Preservica's incident management process requires root-cause analysis and a lessons-learned review within seven days of recovery, and findings from incidents and exercises are presented to the Leadership Team, so any re-enablement follows a documented review.</v>
      </c>
      <c r="E322" s="326" t="str">
        <f>VLOOKUP($A322,AI!$A$13:$E$55,5,0)&amp;""</f>
        <v>Provide documentation on how to enable AI features. Include a time estimate for the time between enabling the feature and when the feature is accessible to users.</v>
      </c>
      <c r="F322" s="191"/>
      <c r="G322" s="30" t="str">
        <f>VLOOKUP($A322,Questions!$A$2:$X$333,21,0)&amp;""</f>
        <v>Yes</v>
      </c>
      <c r="H322" s="181"/>
      <c r="I322" s="45" t="str">
        <f>VLOOKUP($A322,Questions!$A$2:$X$333,23,0)&amp;""</f>
        <v>Critical Importance</v>
      </c>
      <c r="J322" s="181"/>
      <c r="K322" s="48" t="b">
        <v>0</v>
      </c>
      <c r="L322" s="1"/>
    </row>
    <row r="323" spans="1:12" s="29" customFormat="1" ht="409.5" x14ac:dyDescent="0.25">
      <c r="A323" s="19" t="str">
        <f>AI!$A$33</f>
        <v>AIPL-05</v>
      </c>
      <c r="B323" s="20" t="str">
        <f>VLOOKUP($A323,AI!$A$13:$E$55,2,0)&amp;""</f>
        <v>Do you have documented technical and procedural processes to address potential negative impacts of AI as described by the AI Risk Management Framework (RMF)?</v>
      </c>
      <c r="C323" s="45" t="str">
        <f>VLOOKUP($A323,AI!$A$13:$E$55,3,0)&amp;""</f>
        <v>Yes</v>
      </c>
      <c r="D323" s="34" t="str">
        <f>IF(LEFT(VLOOKUP($A323,AI!$A$13:$E$55,5,0),21)='Auto Responses'!$A$32,'Auto Responses'!$A$33,VLOOKUP($A323,AI!$A$13:$E$55,4,0))&amp;""</f>
        <v>Preservica maintains an AI policy within its Information Security Management System that addresses the potential negative impacts of AI and the controls applied to manage them, reviewed at least annually. Procedurally, AI-assisted capabilities are restricted to clearly defined low-risk archival use cases, are disabled by default and enabled only by explicit customer action, and produce outputs that are presented for human review rather than acted on autonomously. Preservica acts as a Deployer of AI systems under Regulation (EU) 2024/1689 and maintains human oversight, staff AI literacy and defined safeguards accordingly, with customers retaining control over whether AI capabilities are enabled, what content is submitted, and how outputs are used. AI-specific risks, including prompt injection, are mitigated through use-case restriction, human oversight and configuration controls, and are managed within Preservica's wider risk management programme.</v>
      </c>
      <c r="E323" s="326" t="str">
        <f>VLOOKUP($A323,AI!$A$13:$E$55,5,0)&amp;""</f>
        <v/>
      </c>
      <c r="F323" s="191"/>
      <c r="G323" s="30" t="str">
        <f>VLOOKUP($A323,Questions!$A$2:$X$333,21,0)&amp;""</f>
        <v>Yes</v>
      </c>
      <c r="H323" s="181"/>
      <c r="I323" s="45" t="str">
        <f>VLOOKUP($A323,Questions!$A$2:$X$333,23,0)&amp;""</f>
        <v>Minor Importance</v>
      </c>
      <c r="J323" s="181"/>
      <c r="K323" s="48" t="b">
        <v>0</v>
      </c>
      <c r="L323" s="1"/>
    </row>
    <row r="324" spans="1:12" s="1" customFormat="1" ht="17.5" x14ac:dyDescent="0.25">
      <c r="A324" s="63" t="str">
        <f>VLOOKUP(LEFT($A325,4),'Auto Responses'!$N$4:$O$38,2,0)&amp;""</f>
        <v xml:space="preserve"> AI Data Security</v>
      </c>
      <c r="B324" s="22"/>
      <c r="C324" s="31"/>
      <c r="D324" s="31"/>
      <c r="E324" s="327"/>
      <c r="F324" s="128" t="s">
        <v>632</v>
      </c>
      <c r="G324" s="331" t="s">
        <v>627</v>
      </c>
      <c r="H324" s="331" t="s">
        <v>628</v>
      </c>
      <c r="I324" s="331" t="s">
        <v>629</v>
      </c>
      <c r="J324" s="331" t="s">
        <v>630</v>
      </c>
      <c r="K324" s="331" t="s">
        <v>631</v>
      </c>
    </row>
    <row r="325" spans="1:12" s="29" customFormat="1" ht="409.5" x14ac:dyDescent="0.25">
      <c r="A325" s="19" t="str">
        <f>AI!$A$35</f>
        <v>AISC-01</v>
      </c>
      <c r="B325" s="20" t="str">
        <f>VLOOKUP($A325,AI!$A$13:$E$55,2,0)&amp;""</f>
        <v>If sensitive data is introduced to your solution's AI model, can the data be removed from the AI model by request?*</v>
      </c>
      <c r="C325" s="45" t="str">
        <f>VLOOKUP($A325,AI!$A$13:$E$55,3,0)&amp;""</f>
        <v>No</v>
      </c>
      <c r="D325" s="34" t="str">
        <f>IF(LEFT(VLOOKUP($A325,AI!$A$13:$E$55,5,0),21)='Auto Responses'!$A$32,'Auto Responses'!$A$33,VLOOKUP($A325,AI!$A$13:$E$55,4,0))&amp;""</f>
        <v>No customer data is retained by any AI model Preservica uses. Customer data is never used to train or fine-tune any AI model; models are used for inference only, and prompts and outputs are not retained by the models for learning. There is therefore no model-resident copy of customer content from which data would need to be removed. Content submitted for AI processing, and any AI-generated output stored against it, remains customer data within the customer's own environment, subject to the customer's ownership and control and removable by the customer at any time in the same way as any other content.</v>
      </c>
      <c r="E325" s="326" t="str">
        <f>VLOOKUP($A325,AI!$A$13:$E$55,5,0)&amp;""</f>
        <v>If data removal or unlearning is not supported, explain why and describe compensating controls (e.g., filtering, short-term memory, differential privacy). Clarify how sensitive data is managed, and note any future plans to support deletion requests.</v>
      </c>
      <c r="F325" s="191"/>
      <c r="G325" s="30" t="str">
        <f>VLOOKUP($A325,Questions!$A$2:$X$333,21,0)&amp;""</f>
        <v>Yes</v>
      </c>
      <c r="H325" s="181"/>
      <c r="I325" s="45" t="str">
        <f>VLOOKUP($A325,Questions!$A$2:$X$333,23,0)&amp;""</f>
        <v>Critical Importance</v>
      </c>
      <c r="J325" s="181"/>
      <c r="K325" s="48" t="b">
        <v>0</v>
      </c>
      <c r="L325" s="1"/>
    </row>
    <row r="326" spans="1:12" s="29" customFormat="1" ht="345" x14ac:dyDescent="0.25">
      <c r="A326" s="19" t="str">
        <f>AI!$A$36</f>
        <v>AISC-02</v>
      </c>
      <c r="B326" s="20" t="str">
        <f>VLOOKUP($A326,AI!$A$13:$E$55,2,0)&amp;""</f>
        <v>Is user input data used to influence your solution's AI model?*</v>
      </c>
      <c r="C326" s="45" t="str">
        <f>VLOOKUP($A326,AI!$A$13:$E$55,3,0)&amp;""</f>
        <v>No</v>
      </c>
      <c r="D326" s="34" t="str">
        <f>IF(LEFT(VLOOKUP($A326,AI!$A$13:$E$55,5,0),21)='Auto Responses'!$A$32,'Auto Responses'!$A$33,VLOOKUP($A326,AI!$A$13:$E$55,4,0))&amp;""</f>
        <v>Customer data is not used to train or fine-tune any AI model Preservica uses. Models are used for inference only, and prompts and outputs are not retained by the models for learning. The models are pre-trained by their original providers or open-source projects before Preservica integrates them, and Preservica neither controls nor supplements those training datasets. There is no feedback loop by which customer content or user activity influences model behaviour.</v>
      </c>
      <c r="E326" s="326" t="str">
        <f>VLOOKUP($A326,AI!$A$13:$E$55,5,0)&amp;""</f>
        <v>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v>
      </c>
      <c r="F326" s="191"/>
      <c r="G326" s="30" t="str">
        <f>VLOOKUP($A326,Questions!$A$2:$X$333,21,0)&amp;""</f>
        <v>No</v>
      </c>
      <c r="H326" s="181"/>
      <c r="I326" s="45" t="str">
        <f>VLOOKUP($A326,Questions!$A$2:$X$333,23,0)&amp;""</f>
        <v>Critical Importance</v>
      </c>
      <c r="J326" s="181"/>
      <c r="K326" s="48" t="b">
        <v>0</v>
      </c>
      <c r="L326" s="1"/>
    </row>
    <row r="327" spans="1:12" s="29" customFormat="1" ht="409.5" x14ac:dyDescent="0.25">
      <c r="A327" s="19" t="str">
        <f>AI!$A$37</f>
        <v>AISC-03</v>
      </c>
      <c r="B327" s="20" t="str">
        <f>VLOOKUP($A327,AI!$A$13:$E$55,2,0)&amp;""</f>
        <v>Do you provide logging for your solution's AI feature(s) that includes user, date, and action taken?*</v>
      </c>
      <c r="C327" s="45" t="str">
        <f>VLOOKUP($A327,AI!$A$13:$E$55,3,0)&amp;""</f>
        <v>Yes</v>
      </c>
      <c r="D327" s="34" t="str">
        <f>IF(LEFT(VLOOKUP($A327,AI!$A$13:$E$55,5,0),21)='Auto Responses'!$A$32,'Auto Responses'!$A$33,VLOOKUP($A327,AI!$A$13:$E$55,4,0))&amp;""</f>
        <v>Any changes to entities are logged within the existing Event history of an entity which captures all and any changes made to it (AI or otherwise), is retained alongside the entity (for however long it exists), and is immutable AI actions run by a specific user on content already in the system are logged with a date, username, and action taken (e.g. MetadataClustering and MetadataCluster Edit for Metadata quality check). AI actions applied automatically on ingest (based on a privileged user configuring their Enrichment policy to do so) are logged within the same report as part of ingest actions without explicitly being labelled as AI, with a date, action and username of the user who configured the ingest workflow, not necessarily the user who ingested the content.</v>
      </c>
      <c r="E327" s="326" t="str">
        <f>VLOOKUP($A327,AI!$A$13:$E$55,5,0)&amp;""</f>
        <v>Describe what audit logs capture, how long they are retained, whether they are immutable, and how they support audits and oversight.</v>
      </c>
      <c r="F327" s="191"/>
      <c r="G327" s="30" t="str">
        <f>VLOOKUP($A327,Questions!$A$2:$X$333,21,0)&amp;""</f>
        <v>Yes</v>
      </c>
      <c r="H327" s="181"/>
      <c r="I327" s="45" t="str">
        <f>VLOOKUP($A327,Questions!$A$2:$X$333,23,0)&amp;""</f>
        <v>Critical Importance</v>
      </c>
      <c r="J327" s="181"/>
      <c r="K327" s="48" t="b">
        <v>0</v>
      </c>
      <c r="L327" s="1"/>
    </row>
    <row r="328" spans="1:12" s="29" customFormat="1" ht="409.5" x14ac:dyDescent="0.25">
      <c r="A328" s="19" t="str">
        <f>AI!$A$38</f>
        <v>AISC-04</v>
      </c>
      <c r="B328" s="20" t="str">
        <f>VLOOKUP($A328,AI!$A$13:$E$55,2,0)&amp;""</f>
        <v>Please describe how you validate user inputs.</v>
      </c>
      <c r="C328" s="301" t="str">
        <f>VLOOKUP($A328,AI!$A$13:$E$55,3,0)&amp;""</f>
        <v/>
      </c>
      <c r="D328" s="302" t="str">
        <f>IF(LEFT(VLOOKUP($A328,AI!$A$13:$E$55,5,0),21)='Auto Responses'!$A$32,'Auto Responses'!$A$33,VLOOKUP($A328,AI!$A$13:$E$55,4,0))&amp;""</f>
        <v>Preservica's AI-assisted capabilities do not expose a free-text prompt interface to end users. The input to each capability is content the customer has already ingested into the platform — a scanned image, a document, an image file, or an audio or video file — invoked through a defined workflow with a fixed processing task, rather than user-composed instructions. The available inputs are therefore bounded by the platform's ingest controls. At ingest the platform either generates a cryptographic hash of each file or validates a customer-supplied hash, and a mismatch against a supplied hash fails the ingest at that point; stored files are subsequently re-hashed periodically against the value on record, with discrepancies alerted to Preservica's operations team and, optionally, to the customer. Supported hash algorithms are MD5, SHA-1, SHA-256 and SHA-512, configurable by the customer. Optical character recognition, identification of personally identifiable information, and audio and video transcription are performed within the Preservica service; image description temporarily uses vision model services provided by the same cloud provider that already hosts the customer's environment. In an upcoming release, image description will also be performed within the Preservica service instead. Prompt injection and comparable model-manipulation risks are mitigated by restricting each capability to a clearly defined use case, maintaining human review of outputs, and applying configuration controls. Access to AI capabilities is governed by role-based access control, and customers determine what content is submitted.</v>
      </c>
      <c r="E328" s="328" t="str">
        <f>VLOOKUP($A328,AI!$A$13:$E$55,5,0)&amp;""</f>
        <v>Please describe how your solution validates user inputs, including detection of anomalies, malicious inputs, and sensitive data. Indicate where validation occurs and how it supports security and compliance.</v>
      </c>
      <c r="F328" s="191"/>
      <c r="G328" s="30" t="str">
        <f>VLOOKUP($A328,Questions!$A$2:$X$333,21,0)&amp;""</f>
        <v>Not scored</v>
      </c>
      <c r="H328" s="181"/>
      <c r="I328" s="45" t="str">
        <f>VLOOKUP($A328,Questions!$A$2:$X$333,23,0)&amp;""</f>
        <v/>
      </c>
      <c r="J328" s="181"/>
      <c r="K328" s="48" t="b">
        <v>0</v>
      </c>
      <c r="L328" s="1"/>
    </row>
    <row r="329" spans="1:12" s="29" customFormat="1" ht="409.5" x14ac:dyDescent="0.25">
      <c r="A329" s="19" t="str">
        <f>AI!$A$39</f>
        <v>AISC-05</v>
      </c>
      <c r="B329" s="20" t="str">
        <f>VLOOKUP($A329,AI!$A$13:$E$55,2,0)&amp;""</f>
        <v>Do you plan for and mitigate supply-chain risk related to your AI features?</v>
      </c>
      <c r="C329" s="45" t="str">
        <f>VLOOKUP($A329,AI!$A$13:$E$55,3,0)&amp;""</f>
        <v>Yes</v>
      </c>
      <c r="D329" s="34" t="str">
        <f>IF(LEFT(VLOOKUP($A329,AI!$A$13:$E$55,5,0),21)='Auto Responses'!$A$32,'Auto Responses'!$A$33,VLOOKUP($A329,AI!$A$13:$E$55,4,0))&amp;""</f>
        <v>Yes. The open-source components underpinning Preservica's AI-assisted capabilities are governed by the same supply-chain controls as all other third-party components in the platform. All new open-source usage — libraries, frameworks, tools, containers or other components — must be reviewed and approved before adoption into any Preservica product or build pipeline, with licence risk assessed as part of that review and higher-risk licences escalated for legal and executive approval before use. Components in use are recorded in an authoritative register that is reviewed annually. Static Application Security Testing, including dependency and component analysis, is integrated into developer IDEs and enforced at every pull request; Dynamic Application Security Testing is performed as a release gate on every release candidate; infrastructure vulnerability scanning runs continuously and is reviewed at least monthly; and an independent penetration test by a CREST-certified third party is performed at least annually across application, API and infrastructure layers. Vendor-supported component versions are maintained wherever reasonably possible, with end-of-life components remediated under Preservica's vulnerability and patch management process. Where an AI capability uses a cloud provider service rather than a component operated by Preservica, that provider is a contracted sub-processor covered by its own independently audited certifications, and Preservica accepts responsibility for its sub-processors under its standard terms. These controls sit within Preservica's certified management systems, including ISO/IEC 27001:2022 and an annual SOC 2 Type II audit; compliance documentation is available via Preservica's Trust Center at https://preservica.com/trust-center. Underlying AI models and components may change over time provided equivalent security, privacy and trust controls are maintained.</v>
      </c>
      <c r="E329" s="326" t="str">
        <f>VLOOKUP($A329,AI!$A$13:$E$55,5,0)&amp;""</f>
        <v>Describe your use of SAST, SBOM, and monitoring of third-party AI components, and how you address vulnerabilities in line with NIST and state requirements</v>
      </c>
      <c r="F329" s="191"/>
      <c r="G329" s="30" t="str">
        <f>VLOOKUP($A329,Questions!$A$2:$X$333,21,0)&amp;""</f>
        <v>Yes</v>
      </c>
      <c r="H329" s="181"/>
      <c r="I329" s="45" t="str">
        <f>VLOOKUP($A329,Questions!$A$2:$X$333,23,0)&amp;""</f>
        <v>Standard Importance</v>
      </c>
      <c r="J329" s="181"/>
      <c r="K329" s="48" t="b">
        <v>0</v>
      </c>
      <c r="L329" s="1"/>
    </row>
    <row r="330" spans="1:12" s="1" customFormat="1" ht="17.5" x14ac:dyDescent="0.25">
      <c r="A330" s="63" t="str">
        <f>VLOOKUP(LEFT($A331,4),'Auto Responses'!$N$4:$O$38,2,0)&amp;""</f>
        <v xml:space="preserve"> AI Machine Learning</v>
      </c>
      <c r="B330" s="22"/>
      <c r="C330" s="31"/>
      <c r="D330" s="31"/>
      <c r="E330" s="327"/>
      <c r="F330" s="128" t="s">
        <v>632</v>
      </c>
      <c r="G330" s="331" t="s">
        <v>627</v>
      </c>
      <c r="H330" s="331" t="s">
        <v>628</v>
      </c>
      <c r="I330" s="331" t="s">
        <v>629</v>
      </c>
      <c r="J330" s="331" t="s">
        <v>630</v>
      </c>
      <c r="K330" s="331" t="s">
        <v>631</v>
      </c>
    </row>
    <row r="331" spans="1:12" s="29" customFormat="1" ht="360" x14ac:dyDescent="0.25">
      <c r="A331" s="19" t="str">
        <f>AI!$A$41</f>
        <v>AIML-01</v>
      </c>
      <c r="B331" s="20" t="str">
        <f>VLOOKUP($A331,AI!$A$13:$E$55,2,0)&amp;""</f>
        <v>Do you separate ML training data from your ML solution data?*</v>
      </c>
      <c r="C331" s="45" t="str">
        <f>VLOOKUP($A331,AI!$A$13:$E$55,3,0)&amp;""</f>
        <v>No</v>
      </c>
      <c r="D331" s="34" t="str">
        <f>IF(LEFT(VLOOKUP($A331,AI!$A$13:$E$55,5,0),21)='Auto Responses'!$A$32,'Auto Responses'!$A$33,VLOOKUP($A331,AI!$A$13:$E$55,4,0))&amp;""</f>
        <v>Preservica does not train or fine-tune any machine learning model and therefore holds no machine learning training data to separate. The models underpinning Preservica's AI-assisted capabilities are pre-trained by their original providers or by open-source projects before Preservica integrates them, and Preservica neither controls nor supplements those training datasets. Customer data is never used to train or fine-tune any model; models are used for inference only.</v>
      </c>
      <c r="E331" s="326" t="str">
        <f>VLOOKUP($A331,AI!$A$13:$E$55,5,0)&amp;""</f>
        <v>If data separation is not in place, explain why and describe compensating controls to protect institutional data from being used in training. Include whether opt-out options are available or planned.</v>
      </c>
      <c r="F331" s="191"/>
      <c r="G331" s="30" t="str">
        <f>VLOOKUP($A331,Questions!$A$2:$X$333,21,0)&amp;""</f>
        <v>Yes</v>
      </c>
      <c r="H331" s="181"/>
      <c r="I331" s="45" t="str">
        <f>VLOOKUP($A331,Questions!$A$2:$X$333,23,0)&amp;""</f>
        <v>Critical Importance</v>
      </c>
      <c r="J331" s="181"/>
      <c r="K331" s="48" t="b">
        <v>0</v>
      </c>
      <c r="L331" s="1"/>
    </row>
    <row r="332" spans="1:12" s="29" customFormat="1" ht="409.5" x14ac:dyDescent="0.25">
      <c r="A332" s="19" t="str">
        <f>AI!$A$42</f>
        <v>AIML-02</v>
      </c>
      <c r="B332" s="20" t="str">
        <f>VLOOKUP($A332,AI!$A$13:$E$55,2,0)&amp;""</f>
        <v>Do you authenticate and verify your ML model's feedback?*</v>
      </c>
      <c r="C332" s="45" t="str">
        <f>VLOOKUP($A332,AI!$A$13:$E$55,3,0)&amp;""</f>
        <v>Yes</v>
      </c>
      <c r="D332" s="34" t="str">
        <f>IF(LEFT(VLOOKUP($A332,AI!$A$13:$E$55,5,0),21)='Auto Responses'!$A$32,'Auto Responses'!$A$33,VLOOKUP($A332,AI!$A$13:$E$55,4,0))&amp;""</f>
        <v>There is no automated feedback loop from Preservica's AI-assisted capabilities into model behaviour — models are used for inference only and are not retrained or tuned on their own outputs or on user interaction. Model outputs are presented to the customer for human review and are not acted on autonomously, so verification of AI output rests with a named, authenticated user acting within their assigned role. Preservica maintains human oversight of AI outputs as an obligation of its role as a Deployer of AI systems under Regulation (EU) 2024/1689, and AI-assisted capabilities are covered by Preservica's continuous application security testing programme, including static analysis at every pull request and dynamic testing as a release gate.</v>
      </c>
      <c r="E332" s="326" t="str">
        <f>VLOOKUP($A332,AI!$A$13:$E$55,5,0)&amp;""</f>
        <v>Describe the process used to authenticate and verify ML model feedback. Include how you detect and mitigate attempts to introduce model skewing, poisoning, or date/phrase attacks.</v>
      </c>
      <c r="F332" s="191"/>
      <c r="G332" s="30" t="str">
        <f>VLOOKUP($A332,Questions!$A$2:$X$333,21,0)&amp;""</f>
        <v>Yes</v>
      </c>
      <c r="H332" s="181"/>
      <c r="I332" s="45" t="str">
        <f>VLOOKUP($A332,Questions!$A$2:$X$333,23,0)&amp;""</f>
        <v>Critical Importance</v>
      </c>
      <c r="J332" s="181"/>
      <c r="K332" s="48" t="b">
        <v>0</v>
      </c>
      <c r="L332" s="1"/>
    </row>
    <row r="333" spans="1:12" s="29" customFormat="1" ht="255" x14ac:dyDescent="0.25">
      <c r="A333" s="19" t="str">
        <f>AI!$A$43</f>
        <v>AIML-03</v>
      </c>
      <c r="B333" s="20" t="str">
        <f>VLOOKUP($A333,AI!$A$13:$E$55,2,0)&amp;""</f>
        <v>Is your ML training data vetted, validated, and verified before training the solution's AI model?</v>
      </c>
      <c r="C333" s="45" t="str">
        <f>VLOOKUP($A333,AI!$A$13:$E$55,3,0)&amp;""</f>
        <v>No</v>
      </c>
      <c r="D333" s="34" t="str">
        <f>IF(LEFT(VLOOKUP($A333,AI!$A$13:$E$55,5,0),21)='Auto Responses'!$A$32,'Auto Responses'!$A$33,VLOOKUP($A333,AI!$A$13:$E$55,4,0))&amp;""</f>
        <v>Preservica does not train or fine-tune any machine learning model and holds no training data of its own to vet or validate. The models used are pre-trained by their original providers or by open-source projects prior to integration, and Preservica does not control or supplement those training datasets. Customer data is never used for training or fine-tuning.</v>
      </c>
      <c r="E333" s="326" t="str">
        <f>VLOOKUP($A333,AI!$A$13:$E$55,5,0)&amp;""</f>
        <v>Explain why the data is not vetted, validated, or verified. Include any future plans to implement this process, and describe any current controls that serve as substitutes for formal vetting and validation.</v>
      </c>
      <c r="F333" s="191"/>
      <c r="G333" s="30" t="str">
        <f>VLOOKUP($A333,Questions!$A$2:$X$333,21,0)&amp;""</f>
        <v>Yes</v>
      </c>
      <c r="H333" s="181"/>
      <c r="I333" s="45" t="str">
        <f>VLOOKUP($A333,Questions!$A$2:$X$333,23,0)&amp;""</f>
        <v>Standard Importance</v>
      </c>
      <c r="J333" s="181"/>
      <c r="K333" s="48" t="b">
        <v>0</v>
      </c>
      <c r="L333" s="1"/>
    </row>
    <row r="334" spans="1:12" s="29" customFormat="1" ht="225" x14ac:dyDescent="0.25">
      <c r="A334" s="19" t="str">
        <f>AI!$A$44</f>
        <v>AIML-04</v>
      </c>
      <c r="B334" s="20" t="str">
        <f>VLOOKUP($A334,AI!$A$13:$E$55,2,0)&amp;""</f>
        <v>Is your ML training data monitored and audited?</v>
      </c>
      <c r="C334" s="45" t="str">
        <f>VLOOKUP($A334,AI!$A$13:$E$55,3,0)&amp;""</f>
        <v>No</v>
      </c>
      <c r="D334" s="34" t="str">
        <f>IF(LEFT(VLOOKUP($A334,AI!$A$13:$E$55,5,0),21)='Auto Responses'!$A$32,'Auto Responses'!$A$33,VLOOKUP($A334,AI!$A$13:$E$55,4,0))&amp;""</f>
        <v>Preservica does not train or fine-tune any machine learning model and therefore holds no training data to monitor or audit. Training datasets belong to the original model providers or open-source projects and are outside Preservica's control. Customer data is never used for training or fine-tuning.</v>
      </c>
      <c r="E334" s="326" t="str">
        <f>VLOOKUP($A334,AI!$A$13:$E$55,5,0)&amp;""</f>
        <v>Explain why training data is not currently monitored or audited, and describe any alternative safeguards in place or future plans to implement monitoring and auditing.</v>
      </c>
      <c r="F334" s="191"/>
      <c r="G334" s="30" t="str">
        <f>VLOOKUP($A334,Questions!$A$2:$X$333,21,0)&amp;""</f>
        <v>Yes</v>
      </c>
      <c r="H334" s="181"/>
      <c r="I334" s="45" t="str">
        <f>VLOOKUP($A334,Questions!$A$2:$X$333,23,0)&amp;""</f>
        <v>Standard Importance</v>
      </c>
      <c r="J334" s="181"/>
      <c r="K334" s="48" t="b">
        <v>0</v>
      </c>
      <c r="L334" s="1"/>
    </row>
    <row r="335" spans="1:12" s="29" customFormat="1" ht="225" x14ac:dyDescent="0.25">
      <c r="A335" s="19" t="str">
        <f>AI!$A$45</f>
        <v>AIML-05</v>
      </c>
      <c r="B335" s="20" t="str">
        <f>VLOOKUP($A335,AI!$A$13:$E$55,2,0)&amp;""</f>
        <v>Have you limited access to your ML training data to only staff with an explicit business need?</v>
      </c>
      <c r="C335" s="45" t="str">
        <f>VLOOKUP($A335,AI!$A$13:$E$55,3,0)&amp;""</f>
        <v>No</v>
      </c>
      <c r="D335" s="34" t="str">
        <f>IF(LEFT(VLOOKUP($A335,AI!$A$13:$E$55,5,0),21)='Auto Responses'!$A$32,'Auto Responses'!$A$33,VLOOKUP($A335,AI!$A$13:$E$55,4,0))&amp;""</f>
        <v>Preservica does not train or fine-tune any machine learning model and holds no machine learning training data to which access would need to be restricted. Access to customer content within the platform is governed by role-based access control and, on the Preservica side, by the principle of least privilege.</v>
      </c>
      <c r="E335" s="326" t="str">
        <f>VLOOKUP($A335,AI!$A$13:$E$55,5,0)&amp;""</f>
        <v>Explain why access to training data is not restricted to staff with an explicit business need. Include any existing policies or controls that currently govern data access.</v>
      </c>
      <c r="F335" s="191"/>
      <c r="G335" s="30" t="str">
        <f>VLOOKUP($A335,Questions!$A$2:$X$333,21,0)&amp;""</f>
        <v>Yes</v>
      </c>
      <c r="H335" s="181"/>
      <c r="I335" s="45" t="str">
        <f>VLOOKUP($A335,Questions!$A$2:$X$333,23,0)&amp;""</f>
        <v>Minor Importance</v>
      </c>
      <c r="J335" s="181"/>
      <c r="K335" s="48" t="b">
        <v>0</v>
      </c>
      <c r="L335" s="1"/>
    </row>
    <row r="336" spans="1:12" s="29" customFormat="1" ht="409.5" x14ac:dyDescent="0.25">
      <c r="A336" s="19" t="str">
        <f>AI!$A$46</f>
        <v>AIML-06</v>
      </c>
      <c r="B336" s="20" t="str">
        <f>VLOOKUP($A336,AI!$A$13:$E$55,2,0)&amp;""</f>
        <v>Have you implemented adversarial training or other model defense mechanisms to protect your ML-related features?</v>
      </c>
      <c r="C336" s="45" t="str">
        <f>VLOOKUP($A336,AI!$A$13:$E$55,3,0)&amp;""</f>
        <v>No</v>
      </c>
      <c r="D336" s="34" t="str">
        <f>IF(LEFT(VLOOKUP($A336,AI!$A$13:$E$55,5,0),21)='Auto Responses'!$A$32,'Auto Responses'!$A$33,VLOOKUP($A336,AI!$A$13:$E$55,4,0))&amp;""</f>
        <v>Preservica does not train or fine-tune models and therefore does not perform adversarial training. Model-manipulation risks, including prompt injection, are instead mitigated at the architecture and process level: each AI-assisted capability is restricted to a single clearly defined use case with a fixed processing task rather than user-composed instructions, outputs are presented for human review rather than acted on autonomously, capabilities are disabled by default and enabled only by explicit customer action, and access is governed by role-based access control and configuration controls. Human oversight is maintained as an obligation of Preservica's role as a Deployer of AI systems under Regulation (EU) 2024/1689.</v>
      </c>
      <c r="E336" s="326" t="str">
        <f>VLOOKUP($A336,AI!$A$13:$E$55,5,0)&amp;""</f>
        <v>Explain why training or other defensive mechanisms have not been implemented. Include controls or other policies in place that would substitute.</v>
      </c>
      <c r="F336" s="191"/>
      <c r="G336" s="30" t="str">
        <f>VLOOKUP($A336,Questions!$A$2:$X$333,21,0)&amp;""</f>
        <v>Yes</v>
      </c>
      <c r="H336" s="181"/>
      <c r="I336" s="45" t="str">
        <f>VLOOKUP($A336,Questions!$A$2:$X$333,23,0)&amp;""</f>
        <v>Minor Importance</v>
      </c>
      <c r="J336" s="181"/>
      <c r="K336" s="48" t="b">
        <v>0</v>
      </c>
      <c r="L336" s="1"/>
    </row>
    <row r="337" spans="1:14" s="29" customFormat="1" ht="150" x14ac:dyDescent="0.25">
      <c r="A337" s="19" t="str">
        <f>AI!$A$47</f>
        <v>AIML-07</v>
      </c>
      <c r="B337" s="20" t="str">
        <f>VLOOKUP($A337,AI!$A$13:$E$55,2,0)&amp;""</f>
        <v>Do you make your ML model transparent through documentation and log inputs and outputs?</v>
      </c>
      <c r="C337" s="45" t="str">
        <f>VLOOKUP($A337,AI!$A$13:$E$55,3,0)&amp;""</f>
        <v>No</v>
      </c>
      <c r="D337" s="34" t="str">
        <f>IF(LEFT(VLOOKUP($A337,AI!$A$13:$E$55,5,0),21)='Auto Responses'!$A$32,'Auto Responses'!$A$33,VLOOKUP($A337,AI!$A$13:$E$55,4,0))&amp;""</f>
        <v/>
      </c>
      <c r="E337" s="326" t="str">
        <f>VLOOKUP($A337,AI!$A$13:$E$55,5,0)&amp;""</f>
        <v>Explain why the model is not documented, does not log inputs/outputs, or lacks explainability features, and describe any compensating controls or future plans to increase transparency.</v>
      </c>
      <c r="F337" s="191"/>
      <c r="G337" s="30" t="str">
        <f>VLOOKUP($A337,Questions!$A$2:$X$333,21,0)&amp;""</f>
        <v>Yes</v>
      </c>
      <c r="H337" s="181"/>
      <c r="I337" s="45" t="str">
        <f>VLOOKUP($A337,Questions!$A$2:$X$333,23,0)&amp;""</f>
        <v>Minor Importance</v>
      </c>
      <c r="J337" s="181"/>
      <c r="K337" s="48" t="b">
        <v>0</v>
      </c>
      <c r="L337" s="1"/>
    </row>
    <row r="338" spans="1:14" s="29" customFormat="1" ht="195" x14ac:dyDescent="0.25">
      <c r="A338" s="19" t="str">
        <f>AI!$A$48</f>
        <v>AIML-08</v>
      </c>
      <c r="B338" s="20" t="str">
        <f>VLOOKUP($A338,AI!$A$13:$E$55,2,0)&amp;""</f>
        <v>Do you watermark your ML training data?</v>
      </c>
      <c r="C338" s="45" t="str">
        <f>VLOOKUP($A338,AI!$A$13:$E$55,3,0)&amp;""</f>
        <v>No</v>
      </c>
      <c r="D338" s="34" t="str">
        <f>IF(LEFT(VLOOKUP($A338,AI!$A$13:$E$55,5,0),21)='Auto Responses'!$A$32,'Auto Responses'!$A$33,VLOOKUP($A338,AI!$A$13:$E$55,4,0))&amp;""</f>
        <v>Preservica does not train or fine-tune any machine learning model and holds no machine learning training data to watermark. Training datasets belong to the original model providers or open-source projects and are outside Preservica's control.</v>
      </c>
      <c r="E338" s="326" t="str">
        <f>VLOOKUP($A338,AI!$A$13:$E$55,5,0)&amp;""</f>
        <v>Explain why training data is not watermarked and any compensating controls or future plans.</v>
      </c>
      <c r="F338" s="191"/>
      <c r="G338" s="30" t="str">
        <f>VLOOKUP($A338,Questions!$A$2:$X$333,21,0)&amp;""</f>
        <v>Yes</v>
      </c>
      <c r="H338" s="181"/>
      <c r="I338" s="45" t="str">
        <f>VLOOKUP($A338,Questions!$A$2:$X$333,23,0)&amp;""</f>
        <v>Minor Importance</v>
      </c>
      <c r="J338" s="181"/>
      <c r="K338" s="48" t="b">
        <v>0</v>
      </c>
      <c r="L338" s="1"/>
    </row>
    <row r="339" spans="1:14" s="1" customFormat="1" ht="17.5" x14ac:dyDescent="0.25">
      <c r="A339" s="63" t="str">
        <f>VLOOKUP(LEFT($A340,4),'Auto Responses'!$N$4:$O$38,2,0)&amp;""</f>
        <v xml:space="preserve"> AI Large Language Model (LLM)</v>
      </c>
      <c r="B339" s="22"/>
      <c r="C339" s="128"/>
      <c r="D339" s="31"/>
      <c r="E339" s="330"/>
      <c r="F339" s="128" t="s">
        <v>632</v>
      </c>
      <c r="G339" s="331" t="s">
        <v>627</v>
      </c>
      <c r="H339" s="331" t="s">
        <v>628</v>
      </c>
      <c r="I339" s="331" t="s">
        <v>629</v>
      </c>
      <c r="J339" s="331" t="s">
        <v>630</v>
      </c>
      <c r="K339" s="331" t="s">
        <v>631</v>
      </c>
    </row>
    <row r="340" spans="1:14" s="29" customFormat="1" ht="75" x14ac:dyDescent="0.25">
      <c r="A340" s="19" t="str">
        <f>AI!$A$50</f>
        <v>AILM-01</v>
      </c>
      <c r="B340" s="20" t="str">
        <f>VLOOKUP($A340,AI!$A$13:$E$55,2,0)&amp;""</f>
        <v>Do you limit your solution's LLM privileges by default?*</v>
      </c>
      <c r="C340" s="45" t="str">
        <f>VLOOKUP($A340,AI!$A$13:$E$55,3,0)&amp;""</f>
        <v>No</v>
      </c>
      <c r="D340" s="34" t="str">
        <f>IF(LEFT(VLOOKUP($A340,AI!$A$13:$E$55,5,0),21)='Auto Responses'!$A$32,'Auto Responses'!$A$33,VLOOKUP($A340,AI!$A$13:$E$55,4,0))&amp;""</f>
        <v>This question does not apply.</v>
      </c>
      <c r="E340" s="326" t="str">
        <f>VLOOKUP($A340,AI!$A$13:$E$55,5,0)&amp;""</f>
        <v>Based on the response to AIQU-02, this question does not apply to this product or service.</v>
      </c>
      <c r="F340" s="191"/>
      <c r="G340" s="30" t="str">
        <f>VLOOKUP($A340,Questions!$A$2:$X$333,21,0)&amp;""</f>
        <v>Yes</v>
      </c>
      <c r="H340" s="181"/>
      <c r="I340" s="45" t="str">
        <f>VLOOKUP($A340,Questions!$A$2:$X$333,23,0)&amp;""</f>
        <v>Critical Importance</v>
      </c>
      <c r="J340" s="181"/>
      <c r="K340" s="48" t="b">
        <v>0</v>
      </c>
      <c r="L340" s="1"/>
    </row>
    <row r="341" spans="1:14" s="29" customFormat="1" ht="75" x14ac:dyDescent="0.25">
      <c r="A341" s="19" t="str">
        <f>AI!$A$51</f>
        <v>AILM-02</v>
      </c>
      <c r="B341" s="20" t="str">
        <f>VLOOKUP($A341,AI!$A$13:$E$55,2,0)&amp;""</f>
        <v>Is your LLM training data vetted, validated, and verified before training the solution's AI model?*</v>
      </c>
      <c r="C341" s="45" t="str">
        <f>VLOOKUP($A341,AI!$A$13:$E$55,3,0)&amp;""</f>
        <v>No</v>
      </c>
      <c r="D341" s="34" t="str">
        <f>IF(LEFT(VLOOKUP($A341,AI!$A$13:$E$55,5,0),21)='Auto Responses'!$A$32,'Auto Responses'!$A$33,VLOOKUP($A341,AI!$A$13:$E$55,4,0))&amp;""</f>
        <v>This question does not apply.</v>
      </c>
      <c r="E341" s="326" t="str">
        <f>VLOOKUP($A341,AI!$A$13:$E$55,5,0)&amp;""</f>
        <v>Based on the response to AIQU-02, this question does not apply to this product or service.</v>
      </c>
      <c r="F341" s="191"/>
      <c r="G341" s="30" t="str">
        <f>VLOOKUP($A341,Questions!$A$2:$X$333,21,0)&amp;""</f>
        <v>Yes</v>
      </c>
      <c r="H341" s="181"/>
      <c r="I341" s="45" t="str">
        <f>VLOOKUP($A341,Questions!$A$2:$X$333,23,0)&amp;""</f>
        <v>Critical Importance</v>
      </c>
      <c r="J341" s="181"/>
      <c r="K341" s="48" t="b">
        <v>0</v>
      </c>
      <c r="L341" s="1"/>
    </row>
    <row r="342" spans="1:14" s="29" customFormat="1" ht="75" x14ac:dyDescent="0.25">
      <c r="A342" s="19" t="str">
        <f>AI!$A$52</f>
        <v>AILM-03</v>
      </c>
      <c r="B342" s="20" t="str">
        <f>VLOOKUP($A342,AI!$A$13:$E$55,2,0)&amp;""</f>
        <v>Do any actions taken by your solution's LLM features or plugins require human intervention?*</v>
      </c>
      <c r="C342" s="45" t="str">
        <f>VLOOKUP($A342,AI!$A$13:$E$55,3,0)&amp;""</f>
        <v>No</v>
      </c>
      <c r="D342" s="34" t="str">
        <f>IF(LEFT(VLOOKUP($A342,AI!$A$13:$E$55,5,0),21)='Auto Responses'!$A$32,'Auto Responses'!$A$33,VLOOKUP($A342,AI!$A$13:$E$55,4,0))&amp;""</f>
        <v>This question does not apply.</v>
      </c>
      <c r="E342" s="326" t="str">
        <f>VLOOKUP($A342,AI!$A$13:$E$55,5,0)&amp;""</f>
        <v>Based on the response to AIQU-02, this question does not apply to this product or service.</v>
      </c>
      <c r="F342" s="191"/>
      <c r="G342" s="30" t="str">
        <f>VLOOKUP($A342,Questions!$A$2:$X$333,21,0)&amp;""</f>
        <v>Yes</v>
      </c>
      <c r="H342" s="181"/>
      <c r="I342" s="45" t="str">
        <f>VLOOKUP($A342,Questions!$A$2:$X$333,23,0)&amp;""</f>
        <v>Critical Importance</v>
      </c>
      <c r="J342" s="181"/>
      <c r="K342" s="48" t="b">
        <v>0</v>
      </c>
      <c r="L342" s="1"/>
    </row>
    <row r="343" spans="1:14" s="29" customFormat="1" ht="75" x14ac:dyDescent="0.25">
      <c r="A343" s="19" t="str">
        <f>AI!$A$53</f>
        <v>AILM-04</v>
      </c>
      <c r="B343" s="20" t="str">
        <f>VLOOKUP($A343,AI!$A$13:$E$55,2,0)&amp;""</f>
        <v>Do you limit multiple LLM model plugins being called as part of a single input?*</v>
      </c>
      <c r="C343" s="45" t="str">
        <f>VLOOKUP($A343,AI!$A$13:$E$55,3,0)&amp;""</f>
        <v>No</v>
      </c>
      <c r="D343" s="34" t="str">
        <f>IF(LEFT(VLOOKUP($A343,AI!$A$13:$E$55,5,0),21)='Auto Responses'!$A$32,'Auto Responses'!$A$33,VLOOKUP($A343,AI!$A$13:$E$55,4,0))&amp;""</f>
        <v>This question does not apply.</v>
      </c>
      <c r="E343" s="326" t="str">
        <f>VLOOKUP($A343,AI!$A$13:$E$55,5,0)&amp;""</f>
        <v>Based on the response to AIQU-02, this question does not apply to this product or service.</v>
      </c>
      <c r="F343" s="191"/>
      <c r="G343" s="30" t="str">
        <f>VLOOKUP($A343,Questions!$A$2:$X$333,21,0)&amp;""</f>
        <v>Yes</v>
      </c>
      <c r="H343" s="181"/>
      <c r="I343" s="45" t="str">
        <f>VLOOKUP($A343,Questions!$A$2:$X$333,23,0)&amp;""</f>
        <v>Critical Importance</v>
      </c>
      <c r="J343" s="181"/>
      <c r="K343" s="48" t="b">
        <v>0</v>
      </c>
      <c r="L343" s="1"/>
    </row>
    <row r="344" spans="1:14" s="29" customFormat="1" ht="75" x14ac:dyDescent="0.25">
      <c r="A344" s="19" t="str">
        <f>AI!$A$54</f>
        <v>AILM-05</v>
      </c>
      <c r="B344" s="20" t="str">
        <f>VLOOKUP($A344,AI!$A$13:$E$55,2,0)&amp;""</f>
        <v>Do you limit your solution's LLM resource use per request, per step, and per action?</v>
      </c>
      <c r="C344" s="45" t="str">
        <f>VLOOKUP($A344,AI!$A$13:$E$55,3,0)&amp;""</f>
        <v>No</v>
      </c>
      <c r="D344" s="34" t="str">
        <f>IF(LEFT(VLOOKUP($A344,AI!$A$13:$E$55,5,0),21)='Auto Responses'!$A$32,'Auto Responses'!$A$33,VLOOKUP($A344,AI!$A$13:$E$55,4,0))&amp;""</f>
        <v>This question does not apply.</v>
      </c>
      <c r="E344" s="326" t="str">
        <f>VLOOKUP($A344,AI!$A$13:$E$55,5,0)&amp;""</f>
        <v>Based on the response to AIQU-02, this question does not apply to this product or service.</v>
      </c>
      <c r="F344" s="191"/>
      <c r="G344" s="30" t="str">
        <f>VLOOKUP($A344,Questions!$A$2:$X$333,21,0)&amp;""</f>
        <v>Yes</v>
      </c>
      <c r="H344" s="181"/>
      <c r="I344" s="45" t="str">
        <f>VLOOKUP($A344,Questions!$A$2:$X$333,23,0)&amp;""</f>
        <v>Standard Importance</v>
      </c>
      <c r="J344" s="181"/>
      <c r="K344" s="48" t="b">
        <v>0</v>
      </c>
      <c r="L344" s="1"/>
    </row>
    <row r="345" spans="1:14" s="29" customFormat="1" ht="75" x14ac:dyDescent="0.25">
      <c r="A345" s="19" t="str">
        <f>AI!$A$55</f>
        <v>AILM-06</v>
      </c>
      <c r="B345" s="20" t="str">
        <f>VLOOKUP($A345,AI!$A$13:$E$55,2,0)&amp;""</f>
        <v>Do you leverage LLM model tuning or other model validation mechanisms?</v>
      </c>
      <c r="C345" s="45" t="str">
        <f>VLOOKUP($A345,AI!$A$13:$E$55,3,0)&amp;""</f>
        <v>No</v>
      </c>
      <c r="D345" s="34" t="str">
        <f>IF(LEFT(VLOOKUP($A345,AI!$A$13:$E$55,5,0),21)='Auto Responses'!$A$32,'Auto Responses'!$A$33,VLOOKUP($A345,AI!$A$13:$E$55,4,0))&amp;""</f>
        <v>This question does not apply.</v>
      </c>
      <c r="E345" s="326" t="str">
        <f>VLOOKUP($A345,AI!$A$13:$E$55,5,0)&amp;""</f>
        <v>Based on the response to AIQU-02, this question does not apply to this product or service.</v>
      </c>
      <c r="F345" s="191"/>
      <c r="G345" s="30" t="str">
        <f>VLOOKUP($A345,Questions!$A$2:$X$333,21,0)&amp;""</f>
        <v>Yes</v>
      </c>
      <c r="H345" s="181"/>
      <c r="I345" s="45" t="str">
        <f>VLOOKUP($A345,Questions!$A$2:$X$333,23,0)&amp;""</f>
        <v>Standard Importance</v>
      </c>
      <c r="J345" s="181"/>
      <c r="K345" s="48" t="b">
        <v>0</v>
      </c>
      <c r="L345" s="1"/>
      <c r="N345" s="234" t="s">
        <v>36</v>
      </c>
    </row>
    <row r="346" spans="1:14" ht="42" customHeight="1" x14ac:dyDescent="0.3">
      <c r="A346" s="263" t="s">
        <v>54</v>
      </c>
    </row>
    <row r="347" spans="1:14" ht="15" hidden="1" customHeight="1" x14ac:dyDescent="0.3"/>
    <row r="348" spans="1:14" ht="15" hidden="1" customHeight="1" x14ac:dyDescent="0.3"/>
    <row r="349" spans="1:14" ht="15" hidden="1" customHeight="1" x14ac:dyDescent="0.3"/>
    <row r="350" spans="1:14" ht="15" hidden="1" customHeight="1" x14ac:dyDescent="0.3"/>
    <row r="351" spans="1:14" ht="15" hidden="1" customHeight="1" x14ac:dyDescent="0.3"/>
    <row r="352" spans="1:14"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sheetData>
  <mergeCells count="1">
    <mergeCell ref="A19:C19"/>
  </mergeCells>
  <conditionalFormatting sqref="F21:G40">
    <cfRule type="dataBar" priority="3">
      <dataBar>
        <cfvo type="num" val="0"/>
        <cfvo type="num" val="1"/>
        <color rgb="FFD0DAF0"/>
      </dataBar>
      <extLst>
        <ext xmlns:x14="http://schemas.microsoft.com/office/spreadsheetml/2009/9/main" uri="{B025F937-C7B1-47D3-B67F-A62EFF666E3E}">
          <x14:id>{146DD6DD-DBE8-4342-A96D-7D447F073938}</x14:id>
        </ext>
      </extLst>
    </cfRule>
  </conditionalFormatting>
  <conditionalFormatting sqref="H40:I40">
    <cfRule type="dataBar" priority="2">
      <dataBar>
        <cfvo type="num" val="0"/>
        <cfvo type="num" val="1"/>
        <color rgb="FF638EC6"/>
      </dataBar>
      <extLst>
        <ext xmlns:x14="http://schemas.microsoft.com/office/spreadsheetml/2009/9/main" uri="{B025F937-C7B1-47D3-B67F-A62EFF666E3E}">
          <x14:id>{C3C44FFB-33C6-45D6-A2DB-1240E27BE538}</x14:id>
        </ext>
      </extLst>
    </cfRule>
  </conditionalFormatting>
  <dataValidations xWindow="1346" yWindow="518" count="2">
    <dataValidation allowBlank="1" showInputMessage="1" showErrorMessage="1" prompt="This answer has been populated from the &quot;START HERE&quot; tab and does not need to be re-entered." sqref="C11:C17" xr:uid="{6A8A5DD2-DBC5-4AFA-9212-26517D452447}"/>
    <dataValidation allowBlank="1" showInputMessage="1" showErrorMessage="1" promptTitle="Warning!" prompt="The HECVAT is built using a number of complex formulas. Editing this cell can break the functionality of the tool. " sqref="I2 B20:B40 C20 C40 B2:B17 A3:A17 D20:I40 I56:I345 G56:G345 A44:E346" xr:uid="{42C50130-3A57-4C1D-932F-FE42EF919690}"/>
  </dataValidations>
  <hyperlinks>
    <hyperlink ref="G21" location="'Institution Evaluation'!A65" display="'Institution Evaluation'!A65" xr:uid="{9BB6B783-2D5B-429A-A38D-F31024220AC6}"/>
    <hyperlink ref="G38" location="'Institution Evaluation'!A309" display="'Institution Evaluation'!A309" xr:uid="{B8DD21E8-AFF2-458D-832C-276DC34D9341}"/>
    <hyperlink ref="G39" location="'Privacy Analyst Evaluation'!A1" display="'Privacy Analyst Evaluation'!A1" xr:uid="{98511C3B-577E-4E85-AEF9-70B142A9EA93}"/>
    <hyperlink ref="F226" location="'Institution Evaluation'!B20" display="Back to Scorecard" xr:uid="{6FE45276-9603-4F4F-8578-735AF2BBFC49}"/>
    <hyperlink ref="F245" location="'Institution Evaluation'!B20" display="Back to Scorecard" xr:uid="{2E72BCD7-5D22-471B-9190-B4D53BA791CB}"/>
    <hyperlink ref="F255" location="'Institution Evaluation'!B20" display="Back to Scorecard" xr:uid="{1DF6CF9D-1B58-4E26-BDCF-036EBA6E0137}"/>
    <hyperlink ref="F285" location="'Institution Evaluation'!B20" display="Back to Scorecard" xr:uid="{625C8E31-7739-454D-B7F0-9328178B0745}"/>
    <hyperlink ref="F298" location="'Institution Evaluation'!B20" display="Back to Scorecard" xr:uid="{3FBC5863-16F9-4DF3-99D5-57A3F598FC3A}"/>
    <hyperlink ref="F309" location="'Institution Evaluation'!B20" display="Back to Scorecard" xr:uid="{1E843BFD-9352-466A-A37F-3F6DC0997DC8}"/>
    <hyperlink ref="F312" location="'Institution Evaluation'!B20" display="Back to Scorecard" xr:uid="{A50B3FAF-0DD0-47AE-A226-3EE8F4666964}"/>
    <hyperlink ref="F318" location="'Institution Evaluation'!B20" display="Back to Scorecard" xr:uid="{8578A02B-414A-4B89-9874-6E0F0CABA11C}"/>
    <hyperlink ref="F324" location="'Institution Evaluation'!B20" display="Back to Scorecard" xr:uid="{4EAF07E3-A446-49D6-9B81-301D7A6A2DFE}"/>
    <hyperlink ref="F330" location="'Institution Evaluation'!B20" display="Back to Scorecard" xr:uid="{C9BE1873-AF3B-4E05-82F3-E1ED6FD8F27D}"/>
    <hyperlink ref="F339" location="'Institution Evaluation'!B20" display="Back to Scorecard" xr:uid="{5672A663-5CCE-44F8-8363-A99CF2D6F791}"/>
    <hyperlink ref="F219" location="'Institution Evaluation'!B20" display="Back to Scorecard" xr:uid="{83828567-04BF-459E-8BE2-0044D0127369}"/>
    <hyperlink ref="F214" location="'Institution Evaluation'!B20" display="Back to Scorecard" xr:uid="{A1BEA664-9690-4B03-A04C-A117FCFB989B}"/>
    <hyperlink ref="F202" location="'Institution Evaluation'!B20" display="Back to Scorecard" xr:uid="{3836858E-46B1-4C36-8D02-D0F05A52A25D}"/>
    <hyperlink ref="F185" location="'Institution Evaluation'!B20" display="Back to Scorecard" xr:uid="{28F17DC6-289B-4707-8B7E-A7CB84C7B4E7}"/>
    <hyperlink ref="F170" location="'Institution Evaluation'!B20" display="Back to Scorecard" xr:uid="{A20522A8-B50C-4AB4-9230-9AAB73E30EE3}"/>
    <hyperlink ref="F146" location="'Institution Evaluation'!B20" display="Back to Scorecard" xr:uid="{1B0F8724-01FD-41CC-8969-8150BDFB0208}"/>
    <hyperlink ref="F127" location="'Institution Evaluation'!B20" display="Back to Scorecard" xr:uid="{971A4E34-19F9-45C1-9027-6E3D641F88EA}"/>
    <hyperlink ref="F111" location="'Institution Evaluation'!B20" display="Back to Scorecard" xr:uid="{D01D5539-6E7F-46C9-874E-F0ADC51C4D23}"/>
    <hyperlink ref="F94" location="'Institution Evaluation'!B20" display="Back to Scorecard" xr:uid="{D0E197AF-1A83-4B46-B53C-01D46E5B6996}"/>
    <hyperlink ref="F88" location="'Institution Evaluation'!B20" display="Back to Scorecard" xr:uid="{0E1BC0D2-F0CC-4575-A673-A3D3CD3DB862}"/>
    <hyperlink ref="F80" location="'Institution Evaluation'!B20" display="Back to Scorecard" xr:uid="{E02B3B42-5558-465B-BDCA-EDE683CAD9F3}"/>
    <hyperlink ref="F71" location="'Institution Evaluation'!B20" display="Back to Scorecard" xr:uid="{2A563F40-8112-422A-B701-8423B34C6A6C}"/>
    <hyperlink ref="F65" location="'Institution Evaluation'!B20" display="Back to Scorecard" xr:uid="{8F2468E9-F2C9-48B9-A074-8DA2F50452F2}"/>
    <hyperlink ref="F55" location="'Institution Evaluation'!B20" display="Back to Scorecard" xr:uid="{9B29E0DB-9237-4EDA-B6E6-FFE05032A5EC}"/>
    <hyperlink ref="A10" r:id="rId1" display="http://www.educause.edu/HECVAT" xr:uid="{CA4B97E8-4BB8-44D3-873F-D2FA5808C236}"/>
    <hyperlink ref="A52" r:id="rId2" display="http://www.educause.edu/HECVAT" xr:uid="{C50E9FB8-ECD0-41CB-A4B7-EF5F93086563}"/>
    <hyperlink ref="G22:G37" location="'Institution Evaluation'!A66" display="'Institution Evaluation'!A66" xr:uid="{22254C26-D2F7-4EB4-9DD6-D7E4EEC9BD73}"/>
    <hyperlink ref="G22" location="'Institution Evaluation'!A80" display="'Institution Evaluation'!A80" xr:uid="{A10D3289-9180-4FDC-B8D5-63AD6CFC39EF}"/>
    <hyperlink ref="G23" location="'Institution Evaluation'!A88" display="'Institution Evaluation'!A88" xr:uid="{524A5B53-524D-4C49-80B6-7A6193774045}"/>
    <hyperlink ref="G24" location="'Institution Evaluation'!A94" display="'Institution Evaluation'!A94" xr:uid="{3E5018C9-5D30-4B64-BCD3-F5D205B6CBC9}"/>
    <hyperlink ref="G25" location="'Institution Evaluation'!A111" display="'Institution Evaluation'!A111" xr:uid="{39439366-0FC8-4EBB-937F-40D8ED0C5787}"/>
    <hyperlink ref="G26" location="'Institution Evaluation'!A127" display="'Institution Evaluation'!A127" xr:uid="{B1EFC601-86CF-4CF8-B268-B760D5CE7AE6}"/>
    <hyperlink ref="G27" location="'Institution Evaluation'!A146" display="'Institution Evaluation'!A146" xr:uid="{3E963CE1-C7B0-46B7-B91D-075492C2E291}"/>
    <hyperlink ref="G28" location="'Institution Evaluation'!A170" display="'Institution Evaluation'!A170" xr:uid="{D192E810-F22F-4DB9-B21F-0F5C1AFED95F}"/>
    <hyperlink ref="G29" location="'Institution Evaluation'!A185" display="'Institution Evaluation'!A185" xr:uid="{60E36B18-3CC8-4A4A-8578-CF3BABBCC3DC}"/>
    <hyperlink ref="G30" location="'Institution Evaluation'!A202" display="'Institution Evaluation'!A202" xr:uid="{743F20BC-A9E4-44F7-A65A-0699920C239A}"/>
    <hyperlink ref="G31" location="'Institution Evaluation'!A214" display="'Institution Evaluation'!A214" xr:uid="{7A781CA3-C3CD-4D04-A143-2CCB454E7A77}"/>
    <hyperlink ref="G32" location="'Institution Evaluation'!A219" display="'Institution Evaluation'!A219" xr:uid="{F512D42C-44E4-4272-9735-B1E48A26C3F7}"/>
    <hyperlink ref="G33" location="'Institution Evaluation'!A245" display="'Institution Evaluation'!A245" xr:uid="{9B9D6919-7160-4762-8FB7-2C707E40F383}"/>
    <hyperlink ref="G34" location="'Institution Evaluation'!A255" display="'Institution Evaluation'!A255" xr:uid="{5EEDD713-7301-4895-8DD6-AAAA68C4654D}"/>
    <hyperlink ref="G35" location="'Institution Evaluation'!A285" display="'Institution Evaluation'!A285" xr:uid="{EF1E4758-B98D-49EB-98E4-3CEEB67EDDD3}"/>
    <hyperlink ref="G36" location="'Institution Evaluation'!A298" display="'Institution Evaluation'!A298" xr:uid="{8F960736-28ED-4591-AB4A-7B6D1C3ED446}"/>
    <hyperlink ref="G37" location="'Institution Evaluation'!A226" display="'Institution Evaluation'!A226" xr:uid="{8D342281-9503-4307-A8A3-6F9A40BBB163}"/>
  </hyperlinks>
  <pageMargins left="0.7" right="0.7" top="0.75" bottom="0.75" header="0.3" footer="0.3"/>
  <pageSetup orientation="portrait" verticalDpi="300" r:id="rId3"/>
  <extLst>
    <ext xmlns:x14="http://schemas.microsoft.com/office/spreadsheetml/2009/9/main" uri="{78C0D931-6437-407d-A8EE-F0AAD7539E65}">
      <x14:conditionalFormattings>
        <x14:conditionalFormatting xmlns:xm="http://schemas.microsoft.com/office/excel/2006/main">
          <x14:cfRule type="dataBar" id="{146DD6DD-DBE8-4342-A96D-7D447F073938}">
            <x14:dataBar minLength="0" maxLength="100" gradient="0" direction="leftToRight" axisPosition="none">
              <x14:cfvo type="num">
                <xm:f>0</xm:f>
              </x14:cfvo>
              <x14:cfvo type="num">
                <xm:f>1</xm:f>
              </x14:cfvo>
              <x14:negativeFillColor rgb="FFFF0000"/>
            </x14:dataBar>
          </x14:cfRule>
          <xm:sqref>F21:G40</xm:sqref>
        </x14:conditionalFormatting>
        <x14:conditionalFormatting xmlns:xm="http://schemas.microsoft.com/office/excel/2006/main">
          <x14:cfRule type="dataBar" id="{C3C44FFB-33C6-45D6-A2DB-1240E27BE538}">
            <x14:dataBar minLength="0" maxLength="100" gradient="0" direction="leftToRight" axisPosition="none">
              <x14:cfvo type="num">
                <xm:f>0</xm:f>
              </x14:cfvo>
              <x14:cfvo type="num">
                <xm:f>1</xm:f>
              </x14:cfvo>
              <x14:negativeFillColor rgb="FFFF0000"/>
            </x14:dataBar>
          </x14:cfRule>
          <xm:sqref>H40:I40</xm:sqref>
        </x14:conditionalFormatting>
      </x14:conditionalFormattings>
    </ext>
    <ext xmlns:x14="http://schemas.microsoft.com/office/spreadsheetml/2009/9/main" uri="{CCE6A557-97BC-4b89-ADB6-D9C93CAAB3DF}">
      <x14:dataValidations xmlns:xm="http://schemas.microsoft.com/office/excel/2006/main" xWindow="1346" yWindow="518" count="2">
        <x14:dataValidation type="list" allowBlank="1" showInputMessage="1" showErrorMessage="1" xr:uid="{87D58459-7D2A-4093-AA23-CB3B86A17A63}">
          <x14:formula1>
            <xm:f>'Auto Responses'!$J$11:$J$14</xm:f>
          </x14:formula1>
          <xm:sqref>J56:J64 J331:J338 J325:J329 J319:J323 J313:J317 J310:J311 J299:J308 J286:J297 J256:J284 J227:J244 J220:J225 J215:J218 J203:J213 J186:J201 J171:J184 J147:J169 J128:J145 J112:J126 J95:J110 J89:J93 J81:J87 J72:J79 J66:J70 J340:J345 J246:J254</xm:sqref>
        </x14:dataValidation>
        <x14:dataValidation type="list" allowBlank="1" showInputMessage="1" showErrorMessage="1" xr:uid="{11ECA3B0-CCF9-44AB-BABD-846BE063E009}">
          <x14:formula1>
            <xm:f>'Auto Responses'!$J$7:$J$8</xm:f>
          </x14:formula1>
          <xm:sqref>H331:H338 H325:H329 H319:H323 H313:H317 H310:H311 H299:H308 H286:H297 H256:H284 H227:H244 H220:H225 H215:H218 H203:H213 H186:H201 H171:H184 H147:H169 H128:H145 H112:H126 H95:H110 H89:H93 H81:H87 H72:H79 H66:H70 H56:H64 H340:H345 H246:H254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CD4C-2221-4279-8401-0FFFE36871FD}">
  <sheetPr>
    <tabColor rgb="FFE0B233"/>
  </sheetPr>
  <dimension ref="A1:LZ696"/>
  <sheetViews>
    <sheetView showGridLines="0" showZeros="0" topLeftCell="A2" zoomScale="80" zoomScaleNormal="80" workbookViewId="0">
      <selection activeCell="A2" sqref="A2"/>
    </sheetView>
  </sheetViews>
  <sheetFormatPr defaultColWidth="0" defaultRowHeight="15" zeroHeight="1" x14ac:dyDescent="0.3"/>
  <cols>
    <col min="1" max="1" width="8.1328125" style="55" customWidth="1"/>
    <col min="2" max="2" width="21.59765625" style="55" customWidth="1"/>
    <col min="3" max="3" width="27.59765625" style="55" customWidth="1"/>
    <col min="4" max="4" width="21.46484375" style="55" bestFit="1" customWidth="1"/>
    <col min="5" max="5" width="21.3984375" style="55" bestFit="1" customWidth="1"/>
    <col min="6" max="6" width="17" style="55" customWidth="1"/>
    <col min="7" max="7" width="2.265625" style="55" customWidth="1"/>
    <col min="8" max="8" width="6.46484375" style="55" customWidth="1"/>
    <col min="9" max="9" width="8.3984375" style="55" bestFit="1" customWidth="1"/>
    <col min="10" max="10" width="31.1328125" style="55" customWidth="1"/>
    <col min="11" max="13" width="22.59765625" style="55" customWidth="1"/>
    <col min="14" max="14" width="8.46484375" style="55" customWidth="1"/>
    <col min="15" max="16" width="8.265625" style="55" hidden="1" customWidth="1"/>
    <col min="17" max="17" width="8.3984375" style="55" hidden="1" customWidth="1"/>
    <col min="18" max="24" width="8.46484375" style="55" hidden="1" customWidth="1"/>
    <col min="25" max="25" width="8.3984375" style="55" hidden="1" customWidth="1"/>
    <col min="26" max="26" width="8.265625" style="55" hidden="1" customWidth="1"/>
    <col min="27" max="28" width="8.46484375" style="55" hidden="1" customWidth="1"/>
    <col min="29" max="29" width="8.265625" style="55" hidden="1" customWidth="1"/>
    <col min="30" max="30" width="8.46484375" style="55" hidden="1" customWidth="1"/>
    <col min="31" max="32" width="8.3984375" style="55" hidden="1" customWidth="1"/>
    <col min="33" max="34" width="8.46484375" style="55" hidden="1" customWidth="1"/>
    <col min="35" max="35" width="10.59765625" style="55" hidden="1" customWidth="1"/>
    <col min="36" max="43" width="8.46484375" style="55" hidden="1" customWidth="1"/>
    <col min="44" max="46" width="8.3984375" style="55" hidden="1" customWidth="1"/>
    <col min="47" max="47" width="8.46484375" style="55" hidden="1" customWidth="1"/>
    <col min="48" max="48" width="8.3984375" style="55" hidden="1" customWidth="1"/>
    <col min="49" max="53" width="8.46484375" style="55" hidden="1" customWidth="1"/>
    <col min="54" max="54" width="8.59765625" style="55" hidden="1" customWidth="1"/>
    <col min="55" max="55" width="8.46484375" style="55" hidden="1" customWidth="1"/>
    <col min="56" max="56" width="8.265625" style="55" hidden="1" customWidth="1"/>
    <col min="57" max="57" width="8.46484375" style="55" hidden="1" customWidth="1"/>
    <col min="58" max="60" width="8.3984375" style="55" hidden="1" customWidth="1"/>
    <col min="61" max="63" width="8.46484375" style="55" hidden="1" customWidth="1"/>
    <col min="64" max="64" width="17.3984375" style="55" hidden="1" customWidth="1"/>
    <col min="65" max="68" width="8.46484375" style="55" hidden="1" customWidth="1"/>
    <col min="69" max="70" width="8.3984375" style="55" hidden="1" customWidth="1"/>
    <col min="71" max="90" width="8.46484375" style="55" hidden="1" customWidth="1"/>
    <col min="91" max="91" width="11.46484375" style="55" hidden="1" customWidth="1"/>
    <col min="92" max="94" width="8.46484375" style="55" hidden="1" customWidth="1"/>
    <col min="95" max="95" width="8.3984375" style="55" hidden="1" customWidth="1"/>
    <col min="96" max="96" width="11.3984375" style="55" hidden="1" customWidth="1"/>
    <col min="97" max="97" width="8.46484375" style="55" hidden="1" customWidth="1"/>
    <col min="98" max="98" width="8.265625" style="55" hidden="1" customWidth="1"/>
    <col min="99" max="100" width="8.3984375" style="55" hidden="1" customWidth="1"/>
    <col min="101" max="102" width="8.46484375" style="55" hidden="1" customWidth="1"/>
    <col min="103" max="103" width="8.86328125" style="55" hidden="1" customWidth="1"/>
    <col min="104" max="109" width="8.46484375" style="55" hidden="1" customWidth="1"/>
    <col min="110" max="111" width="8.3984375" style="55" hidden="1" customWidth="1"/>
    <col min="112" max="114" width="8.46484375" style="55" hidden="1" customWidth="1"/>
    <col min="115" max="116" width="8.3984375" style="55" hidden="1" customWidth="1"/>
    <col min="117" max="117" width="8.46484375" style="55" hidden="1" customWidth="1"/>
    <col min="118" max="118" width="8.3984375" style="55" hidden="1" customWidth="1"/>
    <col min="119" max="119" width="10.86328125" style="55" hidden="1" customWidth="1"/>
    <col min="120" max="124" width="8.46484375" style="55" hidden="1" customWidth="1"/>
    <col min="125" max="125" width="9" style="55" hidden="1" customWidth="1"/>
    <col min="126" max="128" width="8.46484375" style="55" hidden="1" customWidth="1"/>
    <col min="129" max="129" width="8.3984375" style="55" hidden="1" customWidth="1"/>
    <col min="130" max="133" width="8.46484375" style="55" hidden="1" customWidth="1"/>
    <col min="134" max="134" width="10.59765625" style="55" hidden="1" customWidth="1"/>
    <col min="135" max="135" width="8.3984375" style="55" hidden="1" customWidth="1"/>
    <col min="136" max="138" width="8.46484375" style="55" hidden="1" customWidth="1"/>
    <col min="139" max="140" width="8.3984375" style="55" hidden="1" customWidth="1"/>
    <col min="141" max="145" width="8.46484375" style="55" hidden="1" customWidth="1"/>
    <col min="146" max="146" width="8.3984375" style="55" hidden="1" customWidth="1"/>
    <col min="147" max="148" width="8.46484375" style="55" hidden="1" customWidth="1"/>
    <col min="149" max="149" width="8.3984375" style="55" hidden="1" customWidth="1"/>
    <col min="150" max="151" width="8.46484375" style="55" hidden="1" customWidth="1"/>
    <col min="152" max="152" width="8.265625" style="55" hidden="1" customWidth="1"/>
    <col min="153" max="155" width="8.46484375" style="55" hidden="1" customWidth="1"/>
    <col min="156" max="156" width="8.3984375" style="55" hidden="1" customWidth="1"/>
    <col min="157" max="157" width="14.59765625" style="55" hidden="1" customWidth="1"/>
    <col min="158" max="158" width="8.3984375" style="55" hidden="1" customWidth="1"/>
    <col min="159" max="159" width="12.3984375" style="55" hidden="1" customWidth="1"/>
    <col min="160" max="161" width="8.46484375" style="55" hidden="1" customWidth="1"/>
    <col min="162" max="162" width="8.3984375" style="55" hidden="1" customWidth="1"/>
    <col min="163" max="164" width="8.46484375" style="55" hidden="1" customWidth="1"/>
    <col min="165" max="165" width="8" style="55" hidden="1" customWidth="1"/>
    <col min="166" max="166" width="8.46484375" style="55" hidden="1" customWidth="1"/>
    <col min="167" max="167" width="8.3984375" style="55" hidden="1" customWidth="1"/>
    <col min="168" max="169" width="8.46484375" style="55" hidden="1" customWidth="1"/>
    <col min="170" max="170" width="9" style="55" hidden="1" customWidth="1"/>
    <col min="171" max="171" width="8.265625" style="55" hidden="1" customWidth="1"/>
    <col min="172" max="172" width="8.3984375" style="55" hidden="1" customWidth="1"/>
    <col min="173" max="173" width="8.46484375" style="55" hidden="1" customWidth="1"/>
    <col min="174" max="174" width="8.3984375" style="55" hidden="1" customWidth="1"/>
    <col min="175" max="175" width="8.46484375" style="55" hidden="1" customWidth="1"/>
    <col min="176" max="176" width="8.3984375" style="55" hidden="1" customWidth="1"/>
    <col min="177" max="177" width="8.265625" style="55" hidden="1" customWidth="1"/>
    <col min="178" max="179" width="8.46484375" style="55" hidden="1" customWidth="1"/>
    <col min="180" max="180" width="8.265625" style="55" hidden="1" customWidth="1"/>
    <col min="181" max="181" width="8.3984375" style="55" hidden="1" customWidth="1"/>
    <col min="182" max="183" width="8.46484375" style="55" hidden="1" customWidth="1"/>
    <col min="184" max="184" width="11.86328125" style="55" hidden="1" customWidth="1"/>
    <col min="185" max="185" width="9.1328125" style="55" hidden="1" customWidth="1"/>
    <col min="186" max="186" width="8.46484375" style="55" hidden="1" customWidth="1"/>
    <col min="187" max="187" width="10.265625" style="55" hidden="1" customWidth="1"/>
    <col min="188" max="190" width="8.46484375" style="55" hidden="1" customWidth="1"/>
    <col min="191" max="191" width="8.3984375" style="55" hidden="1" customWidth="1"/>
    <col min="192" max="192" width="8.46484375" style="55" hidden="1" customWidth="1"/>
    <col min="193" max="193" width="8.265625" style="55" hidden="1" customWidth="1"/>
    <col min="194" max="194" width="8.3984375" style="55" hidden="1" customWidth="1"/>
    <col min="195" max="198" width="8.46484375" style="55" hidden="1" customWidth="1"/>
    <col min="199" max="201" width="8.3984375" style="55" hidden="1" customWidth="1"/>
    <col min="202" max="202" width="8.46484375" style="55" hidden="1" customWidth="1"/>
    <col min="203" max="206" width="8.3984375" style="55" hidden="1" customWidth="1"/>
    <col min="207" max="209" width="8.46484375" style="55" hidden="1" customWidth="1"/>
    <col min="210" max="210" width="8.1328125" style="55" hidden="1" customWidth="1"/>
    <col min="211" max="211" width="8.46484375" style="55" hidden="1" customWidth="1"/>
    <col min="212" max="213" width="8.3984375" style="55" hidden="1" customWidth="1"/>
    <col min="214" max="214" width="7.86328125" style="55" hidden="1" customWidth="1"/>
    <col min="215" max="216" width="8.46484375" style="55" hidden="1" customWidth="1"/>
    <col min="217" max="217" width="8.3984375" style="55" hidden="1" customWidth="1"/>
    <col min="218" max="219" width="8.46484375" style="55" hidden="1" customWidth="1"/>
    <col min="220" max="220" width="8.3984375" style="55" hidden="1" customWidth="1"/>
    <col min="221" max="221" width="8.265625" style="55" hidden="1" customWidth="1"/>
    <col min="222" max="222" width="8.3984375" style="55" hidden="1" customWidth="1"/>
    <col min="223" max="224" width="8.46484375" style="55" hidden="1" customWidth="1"/>
    <col min="225" max="225" width="8.3984375" style="55" hidden="1" customWidth="1"/>
    <col min="226" max="227" width="8.46484375" style="55" hidden="1" customWidth="1"/>
    <col min="228" max="231" width="8.3984375" style="55" hidden="1" customWidth="1"/>
    <col min="232" max="233" width="8.46484375" style="55" hidden="1" customWidth="1"/>
    <col min="234" max="234" width="8.3984375" style="55" hidden="1" customWidth="1"/>
    <col min="235" max="235" width="8.265625" style="55" hidden="1" customWidth="1"/>
    <col min="236" max="236" width="8.3984375" style="55" hidden="1" customWidth="1"/>
    <col min="237" max="237" width="8.46484375" style="55" hidden="1" customWidth="1"/>
    <col min="238" max="238" width="8.265625" style="55" hidden="1" customWidth="1"/>
    <col min="239" max="242" width="8.3984375" style="55" hidden="1" customWidth="1"/>
    <col min="243" max="243" width="10.1328125" style="55" hidden="1" customWidth="1"/>
    <col min="244" max="244" width="8.3984375" style="55" hidden="1" customWidth="1"/>
    <col min="245" max="249" width="8.46484375" style="55" hidden="1" customWidth="1"/>
    <col min="250" max="250" width="8.3984375" style="55" hidden="1" customWidth="1"/>
    <col min="251" max="254" width="8.46484375" style="55" hidden="1" customWidth="1"/>
    <col min="255" max="256" width="8.3984375" style="55" hidden="1" customWidth="1"/>
    <col min="257" max="259" width="8.46484375" style="55" hidden="1" customWidth="1"/>
    <col min="260" max="261" width="8.3984375" style="55" hidden="1" customWidth="1"/>
    <col min="262" max="263" width="8.46484375" style="55" hidden="1" customWidth="1"/>
    <col min="264" max="264" width="8.265625" style="55" hidden="1" customWidth="1"/>
    <col min="265" max="265" width="8.46484375" style="55" hidden="1" customWidth="1"/>
    <col min="266" max="266" width="8.3984375" style="55" hidden="1" customWidth="1"/>
    <col min="267" max="267" width="8.46484375" style="55" hidden="1" customWidth="1"/>
    <col min="268" max="268" width="8.86328125" style="55" hidden="1" customWidth="1"/>
    <col min="269" max="269" width="10.3984375" style="55" hidden="1" customWidth="1"/>
    <col min="270" max="270" width="8.46484375" style="55" hidden="1" customWidth="1"/>
    <col min="271" max="273" width="8.3984375" style="55" hidden="1" customWidth="1"/>
    <col min="274" max="276" width="8.46484375" style="55" hidden="1" customWidth="1"/>
    <col min="277" max="277" width="8.265625" style="55" hidden="1" customWidth="1"/>
    <col min="278" max="278" width="8.3984375" style="55" hidden="1" customWidth="1"/>
    <col min="279" max="282" width="8.46484375" style="55" hidden="1" customWidth="1"/>
    <col min="283" max="283" width="8.265625" style="55" hidden="1" customWidth="1"/>
    <col min="284" max="284" width="8.3984375" style="55" hidden="1" customWidth="1"/>
    <col min="285" max="286" width="8.265625" style="55" hidden="1" customWidth="1"/>
    <col min="287" max="288" width="8.3984375" style="55" hidden="1" customWidth="1"/>
    <col min="289" max="295" width="8.46484375" style="55" hidden="1" customWidth="1"/>
    <col min="296" max="296" width="8.1328125" style="55" hidden="1" customWidth="1"/>
    <col min="297" max="297" width="8.46484375" style="55" hidden="1" customWidth="1"/>
    <col min="298" max="298" width="7.86328125" style="55" hidden="1" customWidth="1"/>
    <col min="299" max="300" width="8.46484375" style="55" hidden="1" customWidth="1"/>
    <col min="301" max="308" width="8.265625" style="55" hidden="1" customWidth="1"/>
    <col min="309" max="309" width="7.59765625" style="55" hidden="1" customWidth="1"/>
    <col min="310" max="310" width="8.3984375" style="55" hidden="1" customWidth="1"/>
    <col min="311" max="311" width="8.265625" style="55" hidden="1" customWidth="1"/>
    <col min="312" max="313" width="8.3984375" style="55" hidden="1" customWidth="1"/>
    <col min="314" max="314" width="8.46484375" style="55" hidden="1" customWidth="1"/>
    <col min="315" max="315" width="8.3984375" style="55" hidden="1" customWidth="1"/>
    <col min="316" max="316" width="8.46484375" style="55" hidden="1" customWidth="1"/>
    <col min="317" max="318" width="8.3984375" style="55" hidden="1" customWidth="1"/>
    <col min="319" max="319" width="8.46484375" style="55" hidden="1" customWidth="1"/>
    <col min="320" max="321" width="8.3984375" style="55" hidden="1" customWidth="1"/>
    <col min="322" max="324" width="8.46484375" style="55" hidden="1" customWidth="1"/>
    <col min="325" max="325" width="8.3984375" style="55" hidden="1" customWidth="1"/>
    <col min="326" max="329" width="8.46484375" style="55" hidden="1" customWidth="1"/>
    <col min="330" max="330" width="9.3984375" style="55" hidden="1" customWidth="1"/>
    <col min="331" max="334" width="8.46484375" style="55" hidden="1" customWidth="1"/>
    <col min="335" max="335" width="8.3984375" style="55" hidden="1" customWidth="1"/>
    <col min="336" max="336" width="8.46484375" style="55" hidden="1" customWidth="1"/>
    <col min="337" max="337" width="8.3984375" style="55" hidden="1" customWidth="1"/>
    <col min="338" max="338" width="6.46484375" style="55" hidden="1" customWidth="1"/>
    <col min="339" max="16384" width="8.46484375" style="55" hidden="1"/>
  </cols>
  <sheetData>
    <row r="1" spans="1:13" hidden="1" x14ac:dyDescent="0.3">
      <c r="A1" s="236" t="s">
        <v>633</v>
      </c>
    </row>
    <row r="2" spans="1:13" ht="36" customHeight="1" x14ac:dyDescent="0.3">
      <c r="A2" s="172" t="s">
        <v>634</v>
      </c>
      <c r="B2" s="172"/>
      <c r="C2" s="172"/>
      <c r="D2" s="172"/>
      <c r="E2" s="172"/>
      <c r="F2" s="172"/>
      <c r="G2" s="172"/>
      <c r="H2" s="172"/>
      <c r="I2" s="173"/>
      <c r="J2" s="173"/>
      <c r="K2" s="173" t="str">
        <f>'Auto Responses'!$A$36</f>
        <v>Version 4.1.5</v>
      </c>
      <c r="L2" s="173"/>
      <c r="M2" s="173"/>
    </row>
    <row r="3" spans="1:13" ht="22.5" customHeight="1" x14ac:dyDescent="0.3">
      <c r="A3" s="98"/>
      <c r="B3" s="98"/>
      <c r="C3" s="98"/>
      <c r="D3" s="98"/>
      <c r="E3" s="98"/>
      <c r="F3" s="98"/>
      <c r="G3" s="98"/>
      <c r="H3" s="98"/>
      <c r="I3" s="98"/>
      <c r="J3" s="98"/>
      <c r="K3" s="98"/>
      <c r="L3" s="98"/>
      <c r="M3" s="98"/>
    </row>
    <row r="4" spans="1:13" ht="36" customHeight="1" x14ac:dyDescent="0.3">
      <c r="A4" s="99" t="s">
        <v>635</v>
      </c>
      <c r="B4" s="100"/>
      <c r="C4" s="100"/>
      <c r="D4" s="100"/>
      <c r="E4" s="100"/>
      <c r="F4" s="100"/>
      <c r="G4" s="100"/>
      <c r="H4" s="100"/>
      <c r="I4" s="100"/>
      <c r="J4" s="100"/>
      <c r="K4" s="100"/>
      <c r="L4" s="100"/>
      <c r="M4" s="100"/>
    </row>
    <row r="5" spans="1:13" ht="19.5" customHeight="1" x14ac:dyDescent="0.3">
      <c r="A5" s="292" t="str">
        <f>HLOOKUP($A$4,'Auto Responses'!$H$2:$H$5,2,0)&amp;""</f>
        <v xml:space="preserve">1. The scorecard below reflects those questions marked as "Critical Importance" or those where the "Non-Negotiable" box was checked. </v>
      </c>
      <c r="B5" s="161"/>
      <c r="C5" s="161"/>
      <c r="D5" s="161"/>
      <c r="E5" s="161"/>
      <c r="F5" s="161"/>
      <c r="G5" s="161"/>
      <c r="H5" s="161"/>
      <c r="I5" s="161"/>
      <c r="J5" s="61"/>
      <c r="K5" s="61"/>
      <c r="L5" s="61"/>
      <c r="M5" s="61"/>
    </row>
    <row r="6" spans="1:13" s="233" customFormat="1" ht="19.5" customHeight="1" x14ac:dyDescent="0.3">
      <c r="A6" s="292" t="str">
        <f>HLOOKUP($A$4,'Auto Responses'!$H$2:$H$5,3,0)&amp;""</f>
        <v xml:space="preserve">2. Use these condensed, aggregated views to review those questions that pose the highest risk. </v>
      </c>
      <c r="B6" s="292"/>
      <c r="C6" s="292"/>
      <c r="D6" s="292"/>
      <c r="E6" s="292"/>
      <c r="F6" s="292"/>
      <c r="G6" s="292"/>
      <c r="H6" s="292"/>
      <c r="I6" s="292"/>
      <c r="J6" s="293"/>
      <c r="K6" s="293"/>
      <c r="L6" s="293"/>
      <c r="M6" s="293"/>
    </row>
    <row r="7" spans="1:13" ht="19.5" customHeight="1" x14ac:dyDescent="0.3">
      <c r="A7" s="292" t="str">
        <f>HLOOKUP($A$4,'Auto Responses'!$H$2:$H$5,4,0)&amp;""</f>
        <v>3. Changes cannot be made in this sheet. Please make changes in the appropriate "Evaluation" tab.</v>
      </c>
      <c r="B7" s="161"/>
      <c r="C7" s="161"/>
      <c r="D7" s="161"/>
      <c r="E7" s="161"/>
      <c r="F7" s="161"/>
      <c r="G7" s="161"/>
      <c r="H7" s="161"/>
      <c r="I7" s="161"/>
      <c r="J7" s="61"/>
      <c r="K7" s="61"/>
      <c r="L7" s="61"/>
      <c r="M7" s="61"/>
    </row>
    <row r="8" spans="1:13" ht="19.5" customHeight="1" thickBot="1" x14ac:dyDescent="0.35">
      <c r="A8" s="242" t="s">
        <v>636</v>
      </c>
      <c r="B8" s="161"/>
      <c r="C8" s="161"/>
      <c r="D8" s="161"/>
      <c r="E8" s="161"/>
      <c r="F8" s="161"/>
      <c r="G8" s="161"/>
      <c r="H8" s="161"/>
      <c r="I8" s="161"/>
      <c r="J8" s="61"/>
      <c r="K8" s="61"/>
      <c r="L8" s="61"/>
      <c r="M8" s="61"/>
    </row>
    <row r="9" spans="1:13" s="89" customFormat="1" ht="25.5" customHeight="1" x14ac:dyDescent="0.3">
      <c r="A9" s="153" t="str">
        <f>'START HERE'!$B$13</f>
        <v>Solution Provider Name</v>
      </c>
      <c r="B9" s="139"/>
      <c r="C9" s="133" t="str">
        <f>VLOOKUP($A9,'START HERE'!$B$13:$C$21,2,0)&amp;""</f>
        <v>Preservica Inc</v>
      </c>
      <c r="D9" s="134"/>
      <c r="E9" s="135"/>
      <c r="F9" s="90"/>
      <c r="G9" s="90"/>
      <c r="H9" s="95"/>
      <c r="I9" s="90"/>
      <c r="J9" s="90"/>
    </row>
    <row r="10" spans="1:13" s="89" customFormat="1" ht="25.5" customHeight="1" x14ac:dyDescent="0.3">
      <c r="A10" s="154" t="str">
        <f>'START HERE'!$B$16</f>
        <v>Solution Provider Contact Name</v>
      </c>
      <c r="B10" s="140"/>
      <c r="C10" s="132" t="str">
        <f>VLOOKUP($A10,'START HERE'!$B$13:$C$21,2,0)&amp;""</f>
        <v>Sales</v>
      </c>
      <c r="D10" s="97"/>
      <c r="E10" s="136"/>
      <c r="F10" s="90"/>
      <c r="G10" s="90"/>
      <c r="H10" s="95"/>
      <c r="I10" s="90"/>
      <c r="J10" s="90"/>
    </row>
    <row r="11" spans="1:13" s="89" customFormat="1" ht="25.5" customHeight="1" x14ac:dyDescent="0.3">
      <c r="A11" s="154" t="str">
        <f>'START HERE'!$B$17</f>
        <v>Solution Provider Contact Title</v>
      </c>
      <c r="B11" s="140"/>
      <c r="C11" s="132" t="str">
        <f>VLOOKUP($A11,'START HERE'!$B$13:$C$21,2,0)&amp;""</f>
        <v>Sales</v>
      </c>
      <c r="D11" s="97"/>
      <c r="E11" s="136"/>
      <c r="F11" s="90"/>
      <c r="G11" s="90"/>
      <c r="H11" s="95"/>
      <c r="I11" s="90"/>
      <c r="J11" s="90"/>
    </row>
    <row r="12" spans="1:13" s="89" customFormat="1" ht="25.5" customHeight="1" x14ac:dyDescent="0.3">
      <c r="A12" s="154" t="str">
        <f>'START HERE'!$B$18</f>
        <v>Solution Provider Contact Email</v>
      </c>
      <c r="B12" s="140"/>
      <c r="C12" s="132" t="str">
        <f>VLOOKUP($A12,'START HERE'!$B$13:$C$21,2,0)&amp;""</f>
        <v>Sales@preservica.com</v>
      </c>
      <c r="D12" s="97"/>
      <c r="E12" s="136"/>
      <c r="F12" s="130"/>
      <c r="G12" s="131"/>
      <c r="H12" s="131"/>
      <c r="I12" s="131"/>
      <c r="J12" s="131"/>
    </row>
    <row r="13" spans="1:13" s="89" customFormat="1" ht="25.5" customHeight="1" x14ac:dyDescent="0.3">
      <c r="A13" s="154" t="str">
        <f>'START HERE'!$B$14</f>
        <v>Solution Name</v>
      </c>
      <c r="B13" s="140"/>
      <c r="C13" s="132" t="str">
        <f>VLOOKUP($A13,'START HERE'!$B$13:$C$21,2,0)&amp;""</f>
        <v>Preservica Pro, Preservica Pro Plus, Preservica Enterprise, Preservica Enterprise Plus - v9.x</v>
      </c>
      <c r="D13" s="97"/>
      <c r="E13" s="136"/>
      <c r="F13" s="130"/>
      <c r="G13" s="131"/>
      <c r="H13" s="131"/>
      <c r="I13" s="131"/>
      <c r="J13" s="131"/>
    </row>
    <row r="14" spans="1:13" s="89" customFormat="1" ht="25.5" customHeight="1" x14ac:dyDescent="0.3">
      <c r="A14" s="154" t="str">
        <f>'START HERE'!$B$15</f>
        <v>Solution Description</v>
      </c>
      <c r="B14" s="140"/>
      <c r="C14" s="132" t="str">
        <f>VLOOKUP($A14,'START HERE'!$B$13:$C$21,2,0)&amp;""</f>
        <v>Preservica combines all the core requirements for successful long-term active digital preservation – including public and secure access - into a single integrated application that can be quickly deployed and hosted in the cloud.</v>
      </c>
      <c r="D14" s="97"/>
      <c r="E14" s="136"/>
      <c r="F14" s="130"/>
      <c r="G14" s="131"/>
      <c r="H14" s="131"/>
      <c r="I14" s="131"/>
      <c r="J14" s="131"/>
    </row>
    <row r="15" spans="1:13" s="89" customFormat="1" ht="25.5" customHeight="1" thickBot="1" x14ac:dyDescent="0.35">
      <c r="A15" s="155" t="s">
        <v>592</v>
      </c>
      <c r="B15" s="141"/>
      <c r="C15" s="332">
        <f>'START HERE'!$C$3</f>
        <v>46255</v>
      </c>
      <c r="D15" s="137"/>
      <c r="E15" s="138"/>
      <c r="F15" s="130"/>
      <c r="G15" s="131"/>
      <c r="H15" s="131"/>
      <c r="I15" s="131"/>
      <c r="J15" s="131"/>
    </row>
    <row r="16" spans="1:13" x14ac:dyDescent="0.3">
      <c r="A16" s="51" t="s">
        <v>637</v>
      </c>
      <c r="C16" s="256"/>
    </row>
    <row r="17" spans="1:338" s="87" customFormat="1" ht="24" customHeight="1" thickBot="1" x14ac:dyDescent="0.35">
      <c r="A17" s="88"/>
      <c r="B17" s="88"/>
      <c r="C17" s="88"/>
    </row>
    <row r="18" spans="1:338" ht="37.5" customHeight="1" thickBot="1" x14ac:dyDescent="0.35">
      <c r="B18" s="83" t="s">
        <v>594</v>
      </c>
      <c r="C18" s="107" t="s">
        <v>638</v>
      </c>
      <c r="D18" s="82" t="s">
        <v>596</v>
      </c>
      <c r="E18" s="106" t="s">
        <v>597</v>
      </c>
      <c r="F18" s="86" t="s">
        <v>598</v>
      </c>
    </row>
    <row r="19" spans="1:338" s="84" customFormat="1" ht="37.5" customHeight="1" thickBot="1" x14ac:dyDescent="0.35">
      <c r="B19" s="110" t="s">
        <v>639</v>
      </c>
      <c r="C19" s="111">
        <f>SUM('(backend scoring)'!$Q$3:$Q$333)</f>
        <v>0</v>
      </c>
      <c r="D19" s="112">
        <f>SUMIF('(backend scoring)'!$Q$3:$Q$333,1,'(backend scoring)'!$O$3:$O$333)</f>
        <v>0</v>
      </c>
      <c r="E19" s="112">
        <f>SUMIF('(backend scoring)'!$Q$3:$Q$333,1,'(backend scoring)'!$P$3:$P$333)</f>
        <v>0</v>
      </c>
      <c r="F19" s="113" t="str">
        <f>IF(D19=0,'Auto Responses'!$J$5,E19/D19)</f>
        <v>N/A</v>
      </c>
    </row>
    <row r="20" spans="1:338" s="84" customFormat="1" ht="37.5" customHeight="1" thickBot="1" x14ac:dyDescent="0.3">
      <c r="B20" s="110" t="s">
        <v>640</v>
      </c>
      <c r="C20" s="111">
        <f>SUM('(backend scoring)'!$T$3:$T$333)</f>
        <v>87</v>
      </c>
      <c r="D20" s="112">
        <f>SUMIF('(backend scoring)'!$N$3:$N$333,1,'(backend scoring)'!$O$3:$O$333)</f>
        <v>1480</v>
      </c>
      <c r="E20" s="112">
        <f>SUMIF('(backend scoring)'!$N$3:$N$333,1,'(backend scoring)'!$P$3:$P$333)</f>
        <v>1340</v>
      </c>
      <c r="F20" s="113">
        <f>IF(D20=0,'Auto Responses'!$J$5,E20/D20)</f>
        <v>0.90540540540540537</v>
      </c>
      <c r="G20" s="234" t="s">
        <v>36</v>
      </c>
    </row>
    <row r="21" spans="1:338" x14ac:dyDescent="0.3">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row>
    <row r="22" spans="1:338" ht="15.5" thickBot="1" x14ac:dyDescent="0.3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row>
    <row r="23" spans="1:338" ht="34.5" customHeight="1" thickBot="1" x14ac:dyDescent="0.35">
      <c r="A23" s="294" t="s">
        <v>641</v>
      </c>
      <c r="B23" s="159"/>
      <c r="C23" s="159"/>
      <c r="D23" s="159"/>
      <c r="E23" s="159"/>
      <c r="F23" s="160"/>
      <c r="G23" s="162"/>
      <c r="H23" s="294" t="s">
        <v>642</v>
      </c>
      <c r="I23" s="159"/>
      <c r="J23" s="159"/>
      <c r="K23" s="159"/>
      <c r="L23" s="159"/>
      <c r="M23" s="160"/>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row>
    <row r="24" spans="1:338" ht="34.5" customHeight="1" x14ac:dyDescent="0.3">
      <c r="A24" s="150"/>
      <c r="B24" s="203" t="s">
        <v>643</v>
      </c>
      <c r="C24" s="203" t="s">
        <v>625</v>
      </c>
      <c r="D24" s="203" t="s">
        <v>21</v>
      </c>
      <c r="E24" s="203" t="s">
        <v>22</v>
      </c>
      <c r="F24" s="204" t="s">
        <v>24</v>
      </c>
      <c r="G24" s="201"/>
      <c r="H24" s="150"/>
      <c r="I24" s="203" t="s">
        <v>643</v>
      </c>
      <c r="J24" s="203" t="s">
        <v>625</v>
      </c>
      <c r="K24" s="203" t="s">
        <v>21</v>
      </c>
      <c r="L24" s="203" t="s">
        <v>22</v>
      </c>
      <c r="M24" s="204" t="s">
        <v>24</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row>
    <row r="25" spans="1:338" ht="96.75" customHeight="1" x14ac:dyDescent="0.3">
      <c r="A25" s="205">
        <v>1</v>
      </c>
      <c r="B25" s="205" t="str">
        <f>_xlfn.XLOOKUP($A25,'(backend scoring)'!$V$2:$V$333,'(backend scoring)'!$A$2:$A$333,"")</f>
        <v>DOCU-01</v>
      </c>
      <c r="C25" s="205" t="str">
        <f>IFERROR(VLOOKUP($B25,'Institution Evaluation'!$A$55:$F$345,2,0),IFERROR(VLOOKUP($B25,'Privacy Analyst Evaluation'!$A$46:$F$120,2,0),""))&amp;""</f>
        <v>Do you have a well-documented business continuity plan (BCP), with a clear owner, that is tested annually?*</v>
      </c>
      <c r="D25" s="205" t="str">
        <f>IFERROR(VLOOKUP($B25,'Institution Evaluation'!$A$55:$F$345,3,0),IFERROR(VLOOKUP($B25,'Privacy Analyst Evaluation'!$A$46:$F$120,3,0),""))&amp;""</f>
        <v>Yes</v>
      </c>
      <c r="E25" s="205" t="str">
        <f>IFERROR(VLOOKUP($B25,'Institution Evaluation'!$A$55:$F$345,4,0),IFERROR(VLOOKUP($B25,'Privacy Analyst Evaluation'!$A$46:$F$120,4,0),""))&amp;""</f>
        <v>Preservica maintains a documented Business Continuity Plan. Ownership: business continuity is overseen by the Chief Financial Officer, supported by the CISO, with ultimate responsibility resting with the Chief Executive Officer and the Board. Testing: the plan is tested at least annually, either as a tabletop exercise or as a live/technical exercise; where the plan has been invoked in response to a real event, that event may be used in place of a scheduled exercise. The plan is updated following any test that produces findings and is in any case reviewed and updated at least annually. Business continuity falls within the scope of Preservica's ISO/IEC 27001:2022 certification and is independently tested as part of Preservica's SOC 2 Type II audit.</v>
      </c>
      <c r="F25" s="205" t="str">
        <f>IFERROR(VLOOKUP($B25,'Institution Evaluation'!$A$55:$F$345,6,0),IFERROR(VLOOKUP($B25,'Privacy Analyst Evaluation'!$A$46:$F$120,6,0),""))&amp;""</f>
        <v/>
      </c>
      <c r="G25" s="206"/>
      <c r="H25" s="205">
        <v>1</v>
      </c>
      <c r="I25" s="205" t="str">
        <f>_xlfn.XLOOKUP($H25,'(backend scoring)'!$S$2:$S$333,'(backend scoring)'!$A$2:$A$333,"")</f>
        <v/>
      </c>
      <c r="J25" s="205" t="str">
        <f>IFERROR(VLOOKUP($I25,'Institution Evaluation'!$A$55:$F$345,2,0),IFERROR(VLOOKUP($I25,'Privacy Analyst Evaluation'!$A$46:$F$120,2,0),""))&amp;""</f>
        <v/>
      </c>
      <c r="K25" s="205" t="str">
        <f>IFERROR(VLOOKUP($I25,'Institution Evaluation'!$A$55:$F$345,3,0),IFERROR(VLOOKUP($I25,'Privacy Analyst Evaluation'!$A$46:$F$120,3,0),""))&amp;""</f>
        <v/>
      </c>
      <c r="L25" s="205" t="str">
        <f>IFERROR(VLOOKUP($I25,'Institution Evaluation'!$A$55:$F$345,4,0),IFERROR(VLOOKUP($I25,'Privacy Analyst Evaluation'!$A$46:$F$120,4,0),""))&amp;""</f>
        <v/>
      </c>
      <c r="M25" s="205" t="str">
        <f>IFERROR(VLOOKUP($I25,'Institution Evaluation'!$A$55:$F$345,6,0),IFERROR(VLOOKUP($I25,'Privacy Analyst Evaluation'!$A$46:$F$120,6,0),""))&amp;""</f>
        <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row>
    <row r="26" spans="1:338" ht="64.5" customHeight="1" x14ac:dyDescent="0.3">
      <c r="A26" s="205">
        <f>IFERROR(IF($A25+1&gt;'(backend scoring)'!$T$335,"",$A25+1),"")</f>
        <v>2</v>
      </c>
      <c r="B26" s="205" t="str">
        <f>_xlfn.XLOOKUP($A26,'(backend scoring)'!$V$2:$V$333,'(backend scoring)'!$A$2:$A$333,"")</f>
        <v>DOCU-02</v>
      </c>
      <c r="C26" s="205" t="str">
        <f>IFERROR(VLOOKUP($B26,'Institution Evaluation'!$A$55:$F$345,2,0),IFERROR(VLOOKUP($B26,'Privacy Analyst Evaluation'!$A$46:$F$120,2,0),""))&amp;""</f>
        <v>Do you have a well-documented disaster recovery plan (DRP), with a clear owner, that is tested annually?*</v>
      </c>
      <c r="D26" s="205" t="str">
        <f>IFERROR(VLOOKUP($B26,'Institution Evaluation'!$A$55:$F$345,3,0),IFERROR(VLOOKUP($B26,'Privacy Analyst Evaluation'!$A$46:$F$120,3,0),""))&amp;""</f>
        <v>Yes</v>
      </c>
      <c r="E26" s="205" t="str">
        <f>IFERROR(VLOOKUP($B26,'Institution Evaluation'!$A$55:$F$345,4,0),IFERROR(VLOOKUP($B26,'Privacy Analyst Evaluation'!$A$46:$F$120,4,0),""))&amp;""</f>
        <v>Preservica maintains documented disaster recovery plans and testing procedures for both its AWS- and Azure-hosted environments. Ownership: disaster recovery is owned by Preservica's Operations Director. Objectives: Preservica's standard contractual obligations are a Recovery Time Objective of 4 hours and a Recovery Point Objective of 24 hours. Testing: these objectives are exercised semi-annually — that is, more frequently than annually — and the effectiveness of the underlying controls is independently audited as part of Preservica's SOC 2 Type II report. Resilience and recovery measures are designed so that customer data remains within the contracted residency region, without cross-region movement outside agreed jurisdictional boundaries. Detailed backup and recovery implementation methods, including retention schedules, are not publicly disclosed; customers should rely on the RTO and RPO commitments and the independent SOC 2 assurance over them. Data integrity is separately assured by the platform's fixity checking, which validates or generates a hash of each file at ingest and periodically re-verifies every stored file against the value on record.</v>
      </c>
      <c r="F26" s="205" t="str">
        <f>IFERROR(VLOOKUP($B26,'Institution Evaluation'!$A$55:$F$345,6,0),IFERROR(VLOOKUP($B26,'Privacy Analyst Evaluation'!$A$46:$F$120,6,0),""))&amp;""</f>
        <v/>
      </c>
      <c r="G26" s="206"/>
      <c r="H26" s="205" t="str">
        <f>IFERROR(IF($H25+1&gt;'(backend scoring)'!$Q$335,"",$H25+1),"")</f>
        <v/>
      </c>
      <c r="I26" s="205" t="str">
        <f>_xlfn.XLOOKUP($H26,'(backend scoring)'!$S$2:$S$333,'(backend scoring)'!$A$2:$A$333,"")</f>
        <v/>
      </c>
      <c r="J26" s="205" t="str">
        <f>IFERROR(VLOOKUP($I26,'Institution Evaluation'!$A$55:$F$345,2,0),IFERROR(VLOOKUP($I26,'Privacy Analyst Evaluation'!$A$46:$F$120,2,0),""))</f>
        <v/>
      </c>
      <c r="K26" s="205" t="str">
        <f>IFERROR(VLOOKUP($I26,'Institution Evaluation'!$A$55:$F$345,3,0),IFERROR(VLOOKUP($I26,'Privacy Analyst Evaluation'!$A$46:$F$120,3,0),""))&amp;""</f>
        <v/>
      </c>
      <c r="L26" s="205" t="str">
        <f>IFERROR(VLOOKUP($I26,'Institution Evaluation'!$A$55:$F$345,4,0),IFERROR(VLOOKUP($I26,'Privacy Analyst Evaluation'!$A$46:$F$120,4,0),""))&amp;""</f>
        <v/>
      </c>
      <c r="M26" s="205" t="str">
        <f>IFERROR(VLOOKUP($I26,'Institution Evaluation'!$A$55:$F$345,6,0),IFERROR(VLOOKUP($I26,'Privacy Analyst Evaluation'!$A$46:$F$120,6,0),""))&amp;""</f>
        <v/>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row>
    <row r="27" spans="1:338" ht="66.75" customHeight="1" x14ac:dyDescent="0.3">
      <c r="A27" s="205">
        <f>IFERROR(IF($A26+1&gt;'(backend scoring)'!$T$335,"",$A26+1),"")</f>
        <v>3</v>
      </c>
      <c r="B27" s="205" t="str">
        <f>_xlfn.XLOOKUP($A27,'(backend scoring)'!$V$2:$V$333,'(backend scoring)'!$A$2:$A$333,"")</f>
        <v>ITAC-06</v>
      </c>
      <c r="C27" s="205" t="str">
        <f>IFERROR(VLOOKUP($B27,'Institution Evaluation'!$A$55:$F$345,2,0),IFERROR(VLOOKUP($B27,'Privacy Analyst Evaluation'!$A$46:$F$120,2,0),""))&amp;""</f>
        <v>Has a VPAT or ACR been created or updated for the solution and version under consideration within the past 12 months?*</v>
      </c>
      <c r="D27" s="205" t="str">
        <f>IFERROR(VLOOKUP($B27,'Institution Evaluation'!$A$55:$F$345,3,0),IFERROR(VLOOKUP($B27,'Privacy Analyst Evaluation'!$A$46:$F$120,3,0),""))&amp;""</f>
        <v>Yes</v>
      </c>
      <c r="E27" s="205" t="str">
        <f>IFERROR(VLOOKUP($B27,'Institution Evaluation'!$A$55:$F$345,4,0),IFERROR(VLOOKUP($B27,'Privacy Analyst Evaluation'!$A$46:$F$120,4,0),""))&amp;""</f>
        <v>The current report was completed 2025-07-24. This is updated after each update to the SaaS Platform.
https://preservica.com/preservica-vpat-wcag-508-edition-report-access-request</v>
      </c>
      <c r="F27" s="205" t="str">
        <f>IFERROR(VLOOKUP($B27,'Institution Evaluation'!$A$55:$F$345,6,0),IFERROR(VLOOKUP($B27,'Privacy Analyst Evaluation'!$A$46:$F$120,6,0),""))&amp;""</f>
        <v/>
      </c>
      <c r="G27" s="206"/>
      <c r="H27" s="205" t="str">
        <f>IFERROR(IF($H26+1&gt;'(backend scoring)'!$Q$335,"",$H26+1),"")</f>
        <v/>
      </c>
      <c r="I27" s="205" t="str">
        <f>_xlfn.XLOOKUP($H27,'(backend scoring)'!$S$2:$S$333,'(backend scoring)'!$A$2:$A$333,"")</f>
        <v/>
      </c>
      <c r="J27" s="205" t="str">
        <f>IFERROR(VLOOKUP($I27,'Institution Evaluation'!$A$55:$F$345,2,0),IFERROR(VLOOKUP($I27,'Privacy Analyst Evaluation'!$A$46:$F$120,2,0),""))</f>
        <v/>
      </c>
      <c r="K27" s="205" t="str">
        <f>IFERROR(VLOOKUP($I27,'Institution Evaluation'!$A$55:$F$345,3,0),IFERROR(VLOOKUP($I27,'Privacy Analyst Evaluation'!$A$46:$F$120,3,0),""))&amp;""</f>
        <v/>
      </c>
      <c r="L27" s="205" t="str">
        <f>IFERROR(VLOOKUP($I27,'Institution Evaluation'!$A$55:$F$345,4,0),IFERROR(VLOOKUP($I27,'Privacy Analyst Evaluation'!$A$46:$F$120,4,0),""))&amp;""</f>
        <v/>
      </c>
      <c r="M27" s="205" t="str">
        <f>IFERROR(VLOOKUP($I27,'Institution Evaluation'!$A$55:$F$345,6,0),IFERROR(VLOOKUP($I27,'Privacy Analyst Evaluation'!$A$46:$F$120,6,0),""))&amp;""</f>
        <v/>
      </c>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row>
    <row r="28" spans="1:338" ht="75" x14ac:dyDescent="0.3">
      <c r="A28" s="205">
        <f>IFERROR(IF($A27+1&gt;'(backend scoring)'!$T$335,"",$A27+1),"")</f>
        <v>4</v>
      </c>
      <c r="B28" s="205" t="str">
        <f>_xlfn.XLOOKUP($A28,'(backend scoring)'!$V$2:$V$333,'(backend scoring)'!$A$2:$A$333,"")</f>
        <v>ITAC-07</v>
      </c>
      <c r="C28" s="205" t="str">
        <f>IFERROR(VLOOKUP($B28,'Institution Evaluation'!$A$55:$F$345,2,0),IFERROR(VLOOKUP($B28,'Privacy Analyst Evaluation'!$A$46:$F$120,2,0),""))&amp;""</f>
        <v>Will your company agree to meet your stated accessibility standard or WCAG 2.1 AA as part of your contractual agreement for the solution?*</v>
      </c>
      <c r="D28" s="205" t="str">
        <f>IFERROR(VLOOKUP($B28,'Institution Evaluation'!$A$55:$F$345,3,0),IFERROR(VLOOKUP($B28,'Privacy Analyst Evaluation'!$A$46:$F$120,3,0),""))&amp;""</f>
        <v>Yes</v>
      </c>
      <c r="E28" s="205" t="str">
        <f>IFERROR(VLOOKUP($B28,'Institution Evaluation'!$A$55:$F$345,4,0),IFERROR(VLOOKUP($B28,'Privacy Analyst Evaluation'!$A$46:$F$120,4,0),""))&amp;""</f>
        <v/>
      </c>
      <c r="F28" s="205" t="str">
        <f>IFERROR(VLOOKUP($B28,'Institution Evaluation'!$A$55:$F$345,6,0),IFERROR(VLOOKUP($B28,'Privacy Analyst Evaluation'!$A$46:$F$120,6,0),""))&amp;""</f>
        <v/>
      </c>
      <c r="G28" s="206"/>
      <c r="H28" s="205" t="str">
        <f>IFERROR(IF($H27+1&gt;'(backend scoring)'!$Q$335,"",$H27+1),"")</f>
        <v/>
      </c>
      <c r="I28" s="205" t="str">
        <f>_xlfn.XLOOKUP($H28,'(backend scoring)'!$S$2:$S$333,'(backend scoring)'!$A$2:$A$333,"")</f>
        <v/>
      </c>
      <c r="J28" s="205" t="str">
        <f>IFERROR(VLOOKUP($I28,'Institution Evaluation'!$A$55:$F$345,2,0),IFERROR(VLOOKUP($I28,'Privacy Analyst Evaluation'!$A$46:$F$120,2,0),""))</f>
        <v/>
      </c>
      <c r="K28" s="205" t="str">
        <f>IFERROR(VLOOKUP($I28,'Institution Evaluation'!$A$55:$F$345,3,0),IFERROR(VLOOKUP($I28,'Privacy Analyst Evaluation'!$A$46:$F$120,3,0),""))&amp;""</f>
        <v/>
      </c>
      <c r="L28" s="205" t="str">
        <f>IFERROR(VLOOKUP($I28,'Institution Evaluation'!$A$55:$F$345,4,0),IFERROR(VLOOKUP($I28,'Privacy Analyst Evaluation'!$A$46:$F$120,4,0),""))&amp;""</f>
        <v/>
      </c>
      <c r="M28" s="205" t="str">
        <f>IFERROR(VLOOKUP($I28,'Institution Evaluation'!$A$55:$F$345,6,0),IFERROR(VLOOKUP($I28,'Privacy Analyst Evaluation'!$A$46:$F$120,6,0),""))&amp;""</f>
        <v/>
      </c>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row>
    <row r="29" spans="1:338" ht="30" x14ac:dyDescent="0.3">
      <c r="A29" s="205">
        <f>IFERROR(IF($A28+1&gt;'(backend scoring)'!$T$335,"",$A28+1),"")</f>
        <v>5</v>
      </c>
      <c r="B29" s="205" t="str">
        <f>_xlfn.XLOOKUP($A29,'(backend scoring)'!$V$2:$V$333,'(backend scoring)'!$A$2:$A$333,"")</f>
        <v>ITAC-08</v>
      </c>
      <c r="C29" s="205" t="str">
        <f>IFERROR(VLOOKUP($B29,'Institution Evaluation'!$A$55:$F$345,2,0),IFERROR(VLOOKUP($B29,'Privacy Analyst Evaluation'!$A$46:$F$120,2,0),""))&amp;""</f>
        <v>Does the solution substantially conform to WCAG 2.1 AA?*</v>
      </c>
      <c r="D29" s="205" t="str">
        <f>IFERROR(VLOOKUP($B29,'Institution Evaluation'!$A$55:$F$345,3,0),IFERROR(VLOOKUP($B29,'Privacy Analyst Evaluation'!$A$46:$F$120,3,0),""))&amp;""</f>
        <v>Yes</v>
      </c>
      <c r="E29" s="205" t="str">
        <f>IFERROR(VLOOKUP($B29,'Institution Evaluation'!$A$55:$F$345,4,0),IFERROR(VLOOKUP($B29,'Privacy Analyst Evaluation'!$A$46:$F$120,4,0),""))&amp;""</f>
        <v/>
      </c>
      <c r="F29" s="205" t="str">
        <f>IFERROR(VLOOKUP($B29,'Institution Evaluation'!$A$55:$F$345,6,0),IFERROR(VLOOKUP($B29,'Privacy Analyst Evaluation'!$A$46:$F$120,6,0),""))&amp;""</f>
        <v/>
      </c>
      <c r="G29" s="206"/>
      <c r="H29" s="205" t="str">
        <f>IFERROR(IF($H28+1&gt;'(backend scoring)'!$Q$335,"",$H28+1),"")</f>
        <v/>
      </c>
      <c r="I29" s="205" t="str">
        <f>_xlfn.XLOOKUP($H29,'(backend scoring)'!$S$2:$S$333,'(backend scoring)'!$A$2:$A$333,"")</f>
        <v/>
      </c>
      <c r="J29" s="205" t="str">
        <f>IFERROR(VLOOKUP($I29,'Institution Evaluation'!$A$55:$F$345,2,0),IFERROR(VLOOKUP($I29,'Privacy Analyst Evaluation'!$A$46:$F$120,2,0),""))</f>
        <v/>
      </c>
      <c r="K29" s="205" t="str">
        <f>IFERROR(VLOOKUP($I29,'Institution Evaluation'!$A$55:$F$345,3,0),IFERROR(VLOOKUP($I29,'Privacy Analyst Evaluation'!$A$46:$F$120,3,0),""))&amp;""</f>
        <v/>
      </c>
      <c r="L29" s="205" t="str">
        <f>IFERROR(VLOOKUP($I29,'Institution Evaluation'!$A$55:$F$345,4,0),IFERROR(VLOOKUP($I29,'Privacy Analyst Evaluation'!$A$46:$F$120,4,0),""))&amp;""</f>
        <v/>
      </c>
      <c r="M29" s="205" t="str">
        <f>IFERROR(VLOOKUP($I29,'Institution Evaluation'!$A$55:$F$345,6,0),IFERROR(VLOOKUP($I29,'Privacy Analyst Evaluation'!$A$46:$F$120,6,0),""))&amp;""</f>
        <v/>
      </c>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row>
    <row r="30" spans="1:338" ht="270" x14ac:dyDescent="0.3">
      <c r="A30" s="205">
        <f>IFERROR(IF($A29+1&gt;'(backend scoring)'!$T$335,"",$A29+1),"")</f>
        <v>6</v>
      </c>
      <c r="B30" s="205" t="str">
        <f>_xlfn.XLOOKUP($A30,'(backend scoring)'!$V$2:$V$333,'(backend scoring)'!$A$2:$A$333,"")</f>
        <v>ITAC-09</v>
      </c>
      <c r="C30" s="205" t="str">
        <f>IFERROR(VLOOKUP($B30,'Institution Evaluation'!$A$55:$F$345,2,0),IFERROR(VLOOKUP($B30,'Privacy Analyst Evaluation'!$A$46:$F$120,2,0),""))&amp;""</f>
        <v>Do you have a documented and implemented process for reporting and tracking accessibility issues?*</v>
      </c>
      <c r="D30" s="205" t="str">
        <f>IFERROR(VLOOKUP($B30,'Institution Evaluation'!$A$55:$F$345,3,0),IFERROR(VLOOKUP($B30,'Privacy Analyst Evaluation'!$A$46:$F$120,3,0),""))&amp;""</f>
        <v>Yes</v>
      </c>
      <c r="E30" s="205" t="str">
        <f>IFERROR(VLOOKUP($B30,'Institution Evaluation'!$A$55:$F$345,4,0),IFERROR(VLOOKUP($B30,'Privacy Analyst Evaluation'!$A$46:$F$120,4,0),""))&amp;""</f>
        <v>Accessibility issues are reported and tracked through Preservica's standard product issue management process, using the same intake, triage, prioritisation and resolution workflow applied to all other product issues, with accessibility items explicitly identified for tracking. Accessibility issues and enquiries can also be raised directly with Preservica at accessibility@preservica.com.</v>
      </c>
      <c r="F30" s="205" t="str">
        <f>IFERROR(VLOOKUP($B30,'Institution Evaluation'!$A$55:$F$345,6,0),IFERROR(VLOOKUP($B30,'Privacy Analyst Evaluation'!$A$46:$F$120,6,0),""))&amp;""</f>
        <v/>
      </c>
      <c r="G30" s="206"/>
      <c r="H30" s="205" t="str">
        <f>IFERROR(IF($H29+1&gt;'(backend scoring)'!$Q$335,"",$H29+1),"")</f>
        <v/>
      </c>
      <c r="I30" s="205" t="str">
        <f>_xlfn.XLOOKUP($H30,'(backend scoring)'!$S$2:$S$333,'(backend scoring)'!$A$2:$A$333,"")</f>
        <v/>
      </c>
      <c r="J30" s="205" t="str">
        <f>IFERROR(VLOOKUP($I30,'Institution Evaluation'!$A$55:$F$345,2,0),IFERROR(VLOOKUP($I30,'Privacy Analyst Evaluation'!$A$46:$F$120,2,0),""))</f>
        <v/>
      </c>
      <c r="K30" s="205" t="str">
        <f>IFERROR(VLOOKUP($I30,'Institution Evaluation'!$A$55:$F$345,3,0),IFERROR(VLOOKUP($I30,'Privacy Analyst Evaluation'!$A$46:$F$120,3,0),""))&amp;""</f>
        <v/>
      </c>
      <c r="L30" s="205" t="str">
        <f>IFERROR(VLOOKUP($I30,'Institution Evaluation'!$A$55:$F$345,4,0),IFERROR(VLOOKUP($I30,'Privacy Analyst Evaluation'!$A$46:$F$120,4,0),""))&amp;""</f>
        <v/>
      </c>
      <c r="M30" s="205" t="str">
        <f>IFERROR(VLOOKUP($I30,'Institution Evaluation'!$A$55:$F$345,6,0),IFERROR(VLOOKUP($I30,'Privacy Analyst Evaluation'!$A$46:$F$120,6,0),""))&amp;""</f>
        <v/>
      </c>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row>
    <row r="31" spans="1:338" ht="409.5" x14ac:dyDescent="0.3">
      <c r="A31" s="205">
        <f>IFERROR(IF($A30+1&gt;'(backend scoring)'!$T$335,"",$A30+1),"")</f>
        <v>7</v>
      </c>
      <c r="B31" s="205" t="str">
        <f>_xlfn.XLOOKUP($A31,'(backend scoring)'!$V$2:$V$333,'(backend scoring)'!$A$2:$A$333,"")</f>
        <v>THRD-02</v>
      </c>
      <c r="C31" s="205" t="str">
        <f>IFERROR(VLOOKUP($B31,'Institution Evaluation'!$A$55:$F$345,2,0),IFERROR(VLOOKUP($B31,'Privacy Analyst Evaluation'!$A$46:$F$120,2,0),""))&amp;""</f>
        <v>Do you have contractual language in place with third parties governing access to institutional data?*</v>
      </c>
      <c r="D31" s="205" t="str">
        <f>IFERROR(VLOOKUP($B31,'Institution Evaluation'!$A$55:$F$345,3,0),IFERROR(VLOOKUP($B31,'Privacy Analyst Evaluation'!$A$46:$F$120,3,0),""))&amp;""</f>
        <v>Yes</v>
      </c>
      <c r="E31" s="205" t="str">
        <f>IFERROR(VLOOKUP($B31,'Institution Evaluation'!$A$55:$F$345,4,0),IFERROR(VLOOKUP($B31,'Privacy Analyst Evaluation'!$A$46:$F$120,4,0),""))&amp;""</f>
        <v>Yes. Preservica's sub-processors, and the reason institutional data is shared with each, are: Amazon Web Services — cloud infrastructure hosting the SaaS application and the storage of customer content, where selected in the customer's Order Form; Microsoft Azure — cloud infrastructure hosting the SaaS application and the storage of customer content, where selected in the customer's Order Form; Cloudflare — edge network services including web application firewall and DDoS protection for customer production domains, applicable to Professional edition and above. Sub-processors are approved and used in a region-dependent manner consistent with the customer's contracted data residency requirements, and Preservica accepts responsibility for its sub-processors under its standard Terms and Conditions.</v>
      </c>
      <c r="F31" s="205" t="str">
        <f>IFERROR(VLOOKUP($B31,'Institution Evaluation'!$A$55:$F$345,6,0),IFERROR(VLOOKUP($B31,'Privacy Analyst Evaluation'!$A$46:$F$120,6,0),""))&amp;""</f>
        <v/>
      </c>
      <c r="G31" s="206"/>
      <c r="H31" s="205" t="str">
        <f>IFERROR(IF($H30+1&gt;'(backend scoring)'!$Q$335,"",$H30+1),"")</f>
        <v/>
      </c>
      <c r="I31" s="205" t="str">
        <f>_xlfn.XLOOKUP($H31,'(backend scoring)'!$S$2:$S$333,'(backend scoring)'!$A$2:$A$333,"")</f>
        <v/>
      </c>
      <c r="J31" s="205" t="str">
        <f>IFERROR(VLOOKUP($I31,'Institution Evaluation'!$A$55:$F$345,2,0),IFERROR(VLOOKUP($I31,'Privacy Analyst Evaluation'!$A$46:$F$120,2,0),""))</f>
        <v/>
      </c>
      <c r="K31" s="205" t="str">
        <f>IFERROR(VLOOKUP($I31,'Institution Evaluation'!$A$55:$F$345,3,0),IFERROR(VLOOKUP($I31,'Privacy Analyst Evaluation'!$A$46:$F$120,3,0),""))&amp;""</f>
        <v/>
      </c>
      <c r="L31" s="205" t="str">
        <f>IFERROR(VLOOKUP($I31,'Institution Evaluation'!$A$55:$F$345,4,0),IFERROR(VLOOKUP($I31,'Privacy Analyst Evaluation'!$A$46:$F$120,4,0),""))&amp;""</f>
        <v/>
      </c>
      <c r="M31" s="205" t="str">
        <f>IFERROR(VLOOKUP($I31,'Institution Evaluation'!$A$55:$F$345,6,0),IFERROR(VLOOKUP($I31,'Privacy Analyst Evaluation'!$A$46:$F$120,6,0),""))&amp;""</f>
        <v/>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row>
    <row r="32" spans="1:338" ht="409.5" x14ac:dyDescent="0.3">
      <c r="A32" s="205">
        <f>IFERROR(IF($A31+1&gt;'(backend scoring)'!$T$335,"",$A31+1),"")</f>
        <v>8</v>
      </c>
      <c r="B32" s="205" t="str">
        <f>_xlfn.XLOOKUP($A32,'(backend scoring)'!$V$2:$V$333,'(backend scoring)'!$A$2:$A$333,"")</f>
        <v>THRD-01</v>
      </c>
      <c r="C32" s="205" t="str">
        <f>IFERROR(VLOOKUP($B32,'Institution Evaluation'!$A$55:$F$345,2,0),IFERROR(VLOOKUP($B32,'Privacy Analyst Evaluation'!$A$46:$F$120,2,0),""))&amp;""</f>
        <v>Do you perform security assessments of third-party companies with which you share data (e.g., hosting providers, cloud services, PaaS, IaaS, SaaS)?*</v>
      </c>
      <c r="D32" s="205" t="str">
        <f>IFERROR(VLOOKUP($B32,'Institution Evaluation'!$A$55:$F$345,3,0),IFERROR(VLOOKUP($B32,'Privacy Analyst Evaluation'!$A$46:$F$120,3,0),""))&amp;""</f>
        <v>Yes</v>
      </c>
      <c r="E32" s="205" t="str">
        <f>IFERROR(VLOOKUP($B32,'Institution Evaluation'!$A$55:$F$345,4,0),IFERROR(VLOOKUP($B32,'Privacy Analyst Evaluation'!$A$46:$F$120,4,0),""))&amp;""</f>
        <v>Yes. Third parties with which Preservica shares data are governed by Preservica's Supplier Management Policy and reviewed at least annually under its critical supplier review process, which is required by Preservica's ISO/IEC 27001:2022 and ISO 9001:2015 certified management systems and is further audited as part of Preservica's SOC 2 Type II report. For Preservica's cloud infrastructure providers, physical security of the data centre facilities is the provider's responsibility under their own independently audited certifications and attestations, such as ISO 27001 and SOC 2; Preservica reviews those certifications and attestations at least annually. Preservica does not operate its own data centres. Preservica accepts responsibility for its sub-processors under its standard Terms and Conditions. Preservica also ensures, through contractual or equivalent means, that third parties and consultants receive security awareness training equal to or greater than that required of Preservica's own employees.</v>
      </c>
      <c r="F32" s="205" t="str">
        <f>IFERROR(VLOOKUP($B32,'Institution Evaluation'!$A$55:$F$345,6,0),IFERROR(VLOOKUP($B32,'Privacy Analyst Evaluation'!$A$46:$F$120,6,0),""))&amp;""</f>
        <v/>
      </c>
      <c r="G32" s="206"/>
      <c r="H32" s="205" t="str">
        <f>IFERROR(IF($H31+1&gt;'(backend scoring)'!$Q$335,"",$H31+1),"")</f>
        <v/>
      </c>
      <c r="I32" s="205" t="str">
        <f>_xlfn.XLOOKUP($H32,'(backend scoring)'!$S$2:$S$333,'(backend scoring)'!$A$2:$A$333,"")</f>
        <v/>
      </c>
      <c r="J32" s="205" t="str">
        <f>IFERROR(VLOOKUP($I32,'Institution Evaluation'!$A$55:$F$345,2,0),IFERROR(VLOOKUP($I32,'Privacy Analyst Evaluation'!$A$46:$F$120,2,0),""))</f>
        <v/>
      </c>
      <c r="K32" s="205" t="str">
        <f>IFERROR(VLOOKUP($I32,'Institution Evaluation'!$A$55:$F$345,3,0),IFERROR(VLOOKUP($I32,'Privacy Analyst Evaluation'!$A$46:$F$120,3,0),""))&amp;""</f>
        <v/>
      </c>
      <c r="L32" s="205" t="str">
        <f>IFERROR(VLOOKUP($I32,'Institution Evaluation'!$A$55:$F$345,4,0),IFERROR(VLOOKUP($I32,'Privacy Analyst Evaluation'!$A$46:$F$120,4,0),""))&amp;""</f>
        <v/>
      </c>
      <c r="M32" s="205" t="str">
        <f>IFERROR(VLOOKUP($I32,'Institution Evaluation'!$A$55:$F$345,6,0),IFERROR(VLOOKUP($I32,'Privacy Analyst Evaluation'!$A$46:$F$120,6,0),""))&amp;""</f>
        <v/>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row>
    <row r="33" spans="1:338" ht="409.5" x14ac:dyDescent="0.3">
      <c r="A33" s="205">
        <f>IFERROR(IF($A32+1&gt;'(backend scoring)'!$T$335,"",$A32+1),"")</f>
        <v>9</v>
      </c>
      <c r="B33" s="205" t="str">
        <f>_xlfn.XLOOKUP($A33,'(backend scoring)'!$V$2:$V$333,'(backend scoring)'!$A$2:$A$333,"")</f>
        <v>THRD-03</v>
      </c>
      <c r="C33" s="205" t="str">
        <f>IFERROR(VLOOKUP($B33,'Institution Evaluation'!$A$55:$F$345,2,0),IFERROR(VLOOKUP($B33,'Privacy Analyst Evaluation'!$A$46:$F$120,2,0),""))&amp;""</f>
        <v>Do the contracts in place with these third parties address liability in the event of a data breach?*</v>
      </c>
      <c r="D33" s="205" t="str">
        <f>IFERROR(VLOOKUP($B33,'Institution Evaluation'!$A$55:$F$345,3,0),IFERROR(VLOOKUP($B33,'Privacy Analyst Evaluation'!$A$46:$F$120,3,0),""))&amp;""</f>
        <v>Yes</v>
      </c>
      <c r="E33" s="205" t="str">
        <f>IFERROR(VLOOKUP($B33,'Institution Evaluation'!$A$55:$F$345,4,0),IFERROR(VLOOKUP($B33,'Privacy Analyst Evaluation'!$A$46:$F$120,4,0),""))&amp;""</f>
        <v>Yes. Preservica accepts responsibility for its sub-processors under its standard Terms and Conditions, so the institution's contractual recourse in the event of a breach involving a sub-processor is to Preservica. Preservica's own standard Terms and Conditions set out its data breach obligations to the customer, including notification commitments. Preservica's contracts with its hyperscale cloud infrastructure providers are those providers' standard terms, which are not individually negotiable by any customer at that scale; assurance over those providers is obtained instead through their independently audited certifications and attestations, reviewed by Preservica at least annually.</v>
      </c>
      <c r="F33" s="205" t="str">
        <f>IFERROR(VLOOKUP($B33,'Institution Evaluation'!$A$55:$F$345,6,0),IFERROR(VLOOKUP($B33,'Privacy Analyst Evaluation'!$A$46:$F$120,6,0),""))&amp;""</f>
        <v/>
      </c>
      <c r="G33" s="206"/>
      <c r="H33" s="205" t="str">
        <f>IFERROR(IF($H32+1&gt;'(backend scoring)'!$Q$335,"",$H32+1),"")</f>
        <v/>
      </c>
      <c r="I33" s="205" t="str">
        <f>_xlfn.XLOOKUP($H33,'(backend scoring)'!$S$2:$S$333,'(backend scoring)'!$A$2:$A$333,"")</f>
        <v/>
      </c>
      <c r="J33" s="205" t="str">
        <f>IFERROR(VLOOKUP($I33,'Institution Evaluation'!$A$55:$F$345,2,0),IFERROR(VLOOKUP($I33,'Privacy Analyst Evaluation'!$A$46:$F$120,2,0),""))</f>
        <v/>
      </c>
      <c r="K33" s="205" t="str">
        <f>IFERROR(VLOOKUP($I33,'Institution Evaluation'!$A$55:$F$345,3,0),IFERROR(VLOOKUP($I33,'Privacy Analyst Evaluation'!$A$46:$F$120,3,0),""))&amp;""</f>
        <v/>
      </c>
      <c r="L33" s="205" t="str">
        <f>IFERROR(VLOOKUP($I33,'Institution Evaluation'!$A$55:$F$345,4,0),IFERROR(VLOOKUP($I33,'Privacy Analyst Evaluation'!$A$46:$F$120,4,0),""))&amp;""</f>
        <v/>
      </c>
      <c r="M33" s="205" t="str">
        <f>IFERROR(VLOOKUP($I33,'Institution Evaluation'!$A$55:$F$345,6,0),IFERROR(VLOOKUP($I33,'Privacy Analyst Evaluation'!$A$46:$F$120,6,0),""))&amp;""</f>
        <v/>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row>
    <row r="34" spans="1:338" ht="409.5" x14ac:dyDescent="0.3">
      <c r="A34" s="205">
        <f>IFERROR(IF($A33+1&gt;'(backend scoring)'!$T$335,"",$A33+1),"")</f>
        <v>10</v>
      </c>
      <c r="B34" s="205" t="str">
        <f>_xlfn.XLOOKUP($A34,'(backend scoring)'!$V$2:$V$333,'(backend scoring)'!$A$2:$A$333,"")</f>
        <v>THRD-04</v>
      </c>
      <c r="C34" s="205" t="str">
        <f>IFERROR(VLOOKUP($B34,'Institution Evaluation'!$A$55:$F$345,2,0),IFERROR(VLOOKUP($B34,'Privacy Analyst Evaluation'!$A$46:$F$120,2,0),""))&amp;""</f>
        <v>Do you have an implemented third-party management strategy?*</v>
      </c>
      <c r="D34" s="205" t="str">
        <f>IFERROR(VLOOKUP($B34,'Institution Evaluation'!$A$55:$F$345,3,0),IFERROR(VLOOKUP($B34,'Privacy Analyst Evaluation'!$A$46:$F$120,3,0),""))&amp;""</f>
        <v>Yes</v>
      </c>
      <c r="E34" s="205" t="str">
        <f>IFERROR(VLOOKUP($B34,'Institution Evaluation'!$A$55:$F$345,4,0),IFERROR(VLOOKUP($B34,'Privacy Analyst Evaluation'!$A$46:$F$120,4,0),""))&amp;""</f>
        <v>Yes. Third-party management is governed by Preservica's Supplier Management Policy and supporting Supplier Management Procedure, operating within Preservica's ISO/IEC 27001:2022 and ISO 9001:2015 certified management systems and further audited as part of Preservica's SOC 2 Type II report. Critical suppliers are reviewed at least annually, with the review covering their independently audited certifications and attestations. In the context of the service itself, Preservica's third-party dependency is limited: the service is hosted on Amazon Web Services or Microsoft Azure with Cloudflare edge services for Professional edition and above, Preservica does not operate its own data centres, and Preservica does not use outsourced or offshore development.</v>
      </c>
      <c r="F34" s="205" t="str">
        <f>IFERROR(VLOOKUP($B34,'Institution Evaluation'!$A$55:$F$345,6,0),IFERROR(VLOOKUP($B34,'Privacy Analyst Evaluation'!$A$46:$F$120,6,0),""))&amp;""</f>
        <v/>
      </c>
      <c r="G34" s="206"/>
      <c r="H34" s="205" t="str">
        <f>IFERROR(IF($H33+1&gt;'(backend scoring)'!$Q$335,"",$H33+1),"")</f>
        <v/>
      </c>
      <c r="I34" s="205" t="str">
        <f>_xlfn.XLOOKUP($H34,'(backend scoring)'!$S$2:$S$333,'(backend scoring)'!$A$2:$A$333,"")</f>
        <v/>
      </c>
      <c r="J34" s="205" t="str">
        <f>IFERROR(VLOOKUP($I34,'Institution Evaluation'!$A$55:$F$345,2,0),IFERROR(VLOOKUP($I34,'Privacy Analyst Evaluation'!$A$46:$F$120,2,0),""))</f>
        <v/>
      </c>
      <c r="K34" s="205" t="str">
        <f>IFERROR(VLOOKUP($I34,'Institution Evaluation'!$A$55:$F$345,3,0),IFERROR(VLOOKUP($I34,'Privacy Analyst Evaluation'!$A$46:$F$120,3,0),""))&amp;""</f>
        <v/>
      </c>
      <c r="L34" s="205" t="str">
        <f>IFERROR(VLOOKUP($I34,'Institution Evaluation'!$A$55:$F$345,4,0),IFERROR(VLOOKUP($I34,'Privacy Analyst Evaluation'!$A$46:$F$120,4,0),""))&amp;""</f>
        <v/>
      </c>
      <c r="M34" s="205" t="str">
        <f>IFERROR(VLOOKUP($I34,'Institution Evaluation'!$A$55:$F$345,6,0),IFERROR(VLOOKUP($I34,'Privacy Analyst Evaluation'!$A$46:$F$120,6,0),""))&amp;""</f>
        <v/>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row>
    <row r="35" spans="1:338" ht="360" x14ac:dyDescent="0.3">
      <c r="A35" s="205">
        <f>IFERROR(IF($A34+1&gt;'(backend scoring)'!$T$335,"",$A34+1),"")</f>
        <v>11</v>
      </c>
      <c r="B35" s="205" t="str">
        <f>_xlfn.XLOOKUP($A35,'(backend scoring)'!$V$2:$V$333,'(backend scoring)'!$A$2:$A$333,"")</f>
        <v>CONS-01</v>
      </c>
      <c r="C35" s="205" t="str">
        <f>IFERROR(VLOOKUP($B35,'Institution Evaluation'!$A$55:$F$345,2,0),IFERROR(VLOOKUP($B35,'Privacy Analyst Evaluation'!$A$46:$F$120,2,0),""))&amp;""</f>
        <v>Will the consultant require access to the institution's network resources?*</v>
      </c>
      <c r="D35" s="205" t="str">
        <f>IFERROR(VLOOKUP($B35,'Institution Evaluation'!$A$55:$F$345,3,0),IFERROR(VLOOKUP($B35,'Privacy Analyst Evaluation'!$A$46:$F$120,3,0),""))&amp;""</f>
        <v>No</v>
      </c>
      <c r="E35" s="205" t="str">
        <f>IFERROR(VLOOKUP($B35,'Institution Evaluation'!$A$55:$F$345,4,0),IFERROR(VLOOKUP($B35,'Privacy Analyst Evaluation'!$A$46:$F$120,4,0),""))&amp;""</f>
        <v>Professional Services are delivered against the customer's own Preservica environment; access to the institution's network, systems or infrastructure is not required. Where an engagement requires ongoing access to the customer's Preservica environment, that access is granted by the customer at the start of the engagement, is least-privilege, logged and auditable, and can be withdrawn by the customer at any time. Preservica reviews staff access rights at least every six months and removes them when the business need ends.</v>
      </c>
      <c r="F35" s="205" t="str">
        <f>IFERROR(VLOOKUP($B35,'Institution Evaluation'!$A$55:$F$345,6,0),IFERROR(VLOOKUP($B35,'Privacy Analyst Evaluation'!$A$46:$F$120,6,0),""))&amp;""</f>
        <v/>
      </c>
      <c r="G35" s="206"/>
      <c r="H35" s="205" t="str">
        <f>IFERROR(IF($H34+1&gt;'(backend scoring)'!$Q$335,"",$H34+1),"")</f>
        <v/>
      </c>
      <c r="I35" s="205" t="str">
        <f>_xlfn.XLOOKUP($H35,'(backend scoring)'!$S$2:$S$333,'(backend scoring)'!$A$2:$A$333,"")</f>
        <v/>
      </c>
      <c r="J35" s="205" t="str">
        <f>IFERROR(VLOOKUP($I35,'Institution Evaluation'!$A$55:$F$345,2,0),IFERROR(VLOOKUP($I35,'Privacy Analyst Evaluation'!$A$46:$F$120,2,0),""))</f>
        <v/>
      </c>
      <c r="K35" s="205" t="str">
        <f>IFERROR(VLOOKUP($I35,'Institution Evaluation'!$A$55:$F$345,3,0),IFERROR(VLOOKUP($I35,'Privacy Analyst Evaluation'!$A$46:$F$120,3,0),""))&amp;""</f>
        <v/>
      </c>
      <c r="L35" s="205" t="str">
        <f>IFERROR(VLOOKUP($I35,'Institution Evaluation'!$A$55:$F$345,4,0),IFERROR(VLOOKUP($I35,'Privacy Analyst Evaluation'!$A$46:$F$120,4,0),""))&amp;""</f>
        <v/>
      </c>
      <c r="M35" s="205" t="str">
        <f>IFERROR(VLOOKUP($I35,'Institution Evaluation'!$A$55:$F$345,6,0),IFERROR(VLOOKUP($I35,'Privacy Analyst Evaluation'!$A$46:$F$120,6,0),""))&amp;""</f>
        <v/>
      </c>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row>
    <row r="36" spans="1:338" ht="409.5" x14ac:dyDescent="0.3">
      <c r="A36" s="205">
        <f>IFERROR(IF($A35+1&gt;'(backend scoring)'!$T$335,"",$A35+1),"")</f>
        <v>12</v>
      </c>
      <c r="B36" s="205" t="str">
        <f>_xlfn.XLOOKUP($A36,'(backend scoring)'!$V$2:$V$333,'(backend scoring)'!$A$2:$A$333,"")</f>
        <v>CONS-02</v>
      </c>
      <c r="C36" s="205" t="str">
        <f>IFERROR(VLOOKUP($B36,'Institution Evaluation'!$A$55:$F$345,2,0),IFERROR(VLOOKUP($B36,'Privacy Analyst Evaluation'!$A$46:$F$120,2,0),""))&amp;""</f>
        <v>Has the consultant received training on (sensitive, HIPAA, PCI, etc.) data handling?*</v>
      </c>
      <c r="D36" s="205" t="str">
        <f>IFERROR(VLOOKUP($B36,'Institution Evaluation'!$A$55:$F$345,3,0),IFERROR(VLOOKUP($B36,'Privacy Analyst Evaluation'!$A$46:$F$120,3,0),""))&amp;""</f>
        <v>Yes</v>
      </c>
      <c r="E36" s="205" t="str">
        <f>IFERROR(VLOOKUP($B36,'Institution Evaluation'!$A$55:$F$345,4,0),IFERROR(VLOOKUP($B36,'Privacy Analyst Evaluation'!$A$46:$F$120,4,0),""))&amp;""</f>
        <v>All Preservica staff, temporary staff, consultants and third parties with access to Preservica or customer information complete mandatory security awareness training during onboarding and at least annually thereafter, with additional training provided following significant security incidents or material regulatory, policy or technology changes. Training covers data classification, information handling, and the secure transmission, storage, retention and disposal of sensitive customer information, alongside phishing and social engineering, acceptable use, and incident and breach reporting procedures. Personnel holding privileged access, or access to customer data, receive additional role-based training on the secure handling, storage, transmission, access, disclosure and disposal of sensitive information, including their responsibilities for breach identification and reporting. Where third parties or consultants are engaged, Preservica requires by contract that their security awareness training is equal to or greater than that required of Preservica employees; where suitable training cannot be verified, they are enrolled in Preservica's own programme. All staff are additionally screened prior to engagement, and staff in Customer Support, Operations, Information Security and Finance complete an annual criminal background check.</v>
      </c>
      <c r="F36" s="205" t="str">
        <f>IFERROR(VLOOKUP($B36,'Institution Evaluation'!$A$55:$F$345,6,0),IFERROR(VLOOKUP($B36,'Privacy Analyst Evaluation'!$A$46:$F$120,6,0),""))&amp;""</f>
        <v/>
      </c>
      <c r="G36" s="206"/>
      <c r="H36" s="205" t="str">
        <f>IFERROR(IF($H35+1&gt;'(backend scoring)'!$Q$335,"",$H35+1),"")</f>
        <v/>
      </c>
      <c r="I36" s="205" t="str">
        <f>_xlfn.XLOOKUP($H36,'(backend scoring)'!$S$2:$S$333,'(backend scoring)'!$A$2:$A$333,"")</f>
        <v/>
      </c>
      <c r="J36" s="205" t="str">
        <f>IFERROR(VLOOKUP($I36,'Institution Evaluation'!$A$55:$F$345,2,0),IFERROR(VLOOKUP($I36,'Privacy Analyst Evaluation'!$A$46:$F$120,2,0),""))</f>
        <v/>
      </c>
      <c r="K36" s="205" t="str">
        <f>IFERROR(VLOOKUP($I36,'Institution Evaluation'!$A$55:$F$345,3,0),IFERROR(VLOOKUP($I36,'Privacy Analyst Evaluation'!$A$46:$F$120,3,0),""))&amp;""</f>
        <v/>
      </c>
      <c r="L36" s="205" t="str">
        <f>IFERROR(VLOOKUP($I36,'Institution Evaluation'!$A$55:$F$345,4,0),IFERROR(VLOOKUP($I36,'Privacy Analyst Evaluation'!$A$46:$F$120,4,0),""))&amp;""</f>
        <v/>
      </c>
      <c r="M36" s="205" t="str">
        <f>IFERROR(VLOOKUP($I36,'Institution Evaluation'!$A$55:$F$345,6,0),IFERROR(VLOOKUP($I36,'Privacy Analyst Evaluation'!$A$46:$F$120,6,0),""))&amp;""</f>
        <v/>
      </c>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row>
    <row r="37" spans="1:338" ht="405" x14ac:dyDescent="0.3">
      <c r="A37" s="205">
        <f>IFERROR(IF($A36+1&gt;'(backend scoring)'!$T$335,"",$A36+1),"")</f>
        <v>13</v>
      </c>
      <c r="B37" s="205" t="str">
        <f>_xlfn.XLOOKUP($A37,'(backend scoring)'!$V$2:$V$333,'(backend scoring)'!$A$2:$A$333,"")</f>
        <v>CONS-03</v>
      </c>
      <c r="C37" s="205" t="str">
        <f>IFERROR(VLOOKUP($B37,'Institution Evaluation'!$A$55:$F$345,2,0),IFERROR(VLOOKUP($B37,'Privacy Analyst Evaluation'!$A$46:$F$120,2,0),""))&amp;""</f>
        <v>Is the data encrypted (at rest) while in the consultant's possession?*</v>
      </c>
      <c r="D37" s="205" t="str">
        <f>IFERROR(VLOOKUP($B37,'Institution Evaluation'!$A$55:$F$345,3,0),IFERROR(VLOOKUP($B37,'Privacy Analyst Evaluation'!$A$46:$F$120,3,0),""))&amp;""</f>
        <v>Yes</v>
      </c>
      <c r="E37" s="205" t="str">
        <f>IFERROR(VLOOKUP($B37,'Institution Evaluation'!$A$55:$F$345,4,0),IFERROR(VLOOKUP($B37,'Privacy Analyst Evaluation'!$A$46:$F$120,4,0),""))&amp;""</f>
        <v>Professional Services engagements are performed within the customer's own Preservica environment, and customer content is not routinely held by Preservica personnel. Where customer content is held on a Preservica endpoint, full-disk encryption is applied in line with industry standards and best practice. Customer data held within the Preservica service is encrypted at rest using AES-256, with key management provided by the underlying cloud platform's key management service; customers on dedicated infrastructure have unique encryption keys that are not shared.</v>
      </c>
      <c r="F37" s="205" t="str">
        <f>IFERROR(VLOOKUP($B37,'Institution Evaluation'!$A$55:$F$345,6,0),IFERROR(VLOOKUP($B37,'Privacy Analyst Evaluation'!$A$46:$F$120,6,0),""))&amp;""</f>
        <v/>
      </c>
      <c r="G37" s="206"/>
      <c r="H37" s="205" t="str">
        <f>IFERROR(IF($H36+1&gt;'(backend scoring)'!$Q$335,"",$H36+1),"")</f>
        <v/>
      </c>
      <c r="I37" s="205" t="str">
        <f>_xlfn.XLOOKUP($H37,'(backend scoring)'!$S$2:$S$333,'(backend scoring)'!$A$2:$A$333,"")</f>
        <v/>
      </c>
      <c r="J37" s="205" t="str">
        <f>IFERROR(VLOOKUP($I37,'Institution Evaluation'!$A$55:$F$345,2,0),IFERROR(VLOOKUP($I37,'Privacy Analyst Evaluation'!$A$46:$F$120,2,0),""))</f>
        <v/>
      </c>
      <c r="K37" s="205" t="str">
        <f>IFERROR(VLOOKUP($I37,'Institution Evaluation'!$A$55:$F$345,3,0),IFERROR(VLOOKUP($I37,'Privacy Analyst Evaluation'!$A$46:$F$120,3,0),""))&amp;""</f>
        <v/>
      </c>
      <c r="L37" s="205" t="str">
        <f>IFERROR(VLOOKUP($I37,'Institution Evaluation'!$A$55:$F$345,4,0),IFERROR(VLOOKUP($I37,'Privacy Analyst Evaluation'!$A$46:$F$120,4,0),""))&amp;""</f>
        <v/>
      </c>
      <c r="M37" s="205" t="str">
        <f>IFERROR(VLOOKUP($I37,'Institution Evaluation'!$A$55:$F$345,6,0),IFERROR(VLOOKUP($I37,'Privacy Analyst Evaluation'!$A$46:$F$120,6,0),""))&amp;""</f>
        <v/>
      </c>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row>
    <row r="38" spans="1:338" ht="53.25" customHeight="1" x14ac:dyDescent="0.3">
      <c r="A38" s="205">
        <f>IFERROR(IF($A37+1&gt;'(backend scoring)'!$T$335,"",$A37+1),"")</f>
        <v>14</v>
      </c>
      <c r="B38" s="205" t="str">
        <f>_xlfn.XLOOKUP($A38,'(backend scoring)'!$V$2:$V$333,'(backend scoring)'!$A$2:$A$333,"")</f>
        <v>CONS-04</v>
      </c>
      <c r="C38" s="205" t="str">
        <f>IFERROR(VLOOKUP($B38,'Institution Evaluation'!$A$55:$F$345,2,0),IFERROR(VLOOKUP($B38,'Privacy Analyst Evaluation'!$A$46:$F$120,2,0),""))&amp;""</f>
        <v>Can access be restricted based on source IP address?*</v>
      </c>
      <c r="D38" s="205" t="str">
        <f>IFERROR(VLOOKUP($B38,'Institution Evaluation'!$A$55:$F$345,3,0),IFERROR(VLOOKUP($B38,'Privacy Analyst Evaluation'!$A$46:$F$120,3,0),""))&amp;""</f>
        <v>Yes</v>
      </c>
      <c r="E38" s="205" t="str">
        <f>IFERROR(VLOOKUP($B38,'Institution Evaluation'!$A$55:$F$345,4,0),IFERROR(VLOOKUP($B38,'Privacy Analyst Evaluation'!$A$46:$F$120,4,0),""))&amp;""</f>
        <v>Customers may enable IP whitelisting, which restricts access to the IP addresses the customer provides, together with Preservica's office addresses and Preservica's infrastructure monitoring platform. Where IP whitelisting is not enabled, access is restricted to authenticated users from any location, other than content the customer has specifically selected for public disclosure through Universal Access or a public Portal.</v>
      </c>
      <c r="F38" s="205" t="str">
        <f>IFERROR(VLOOKUP($B38,'Institution Evaluation'!$A$55:$F$345,6,0),IFERROR(VLOOKUP($B38,'Privacy Analyst Evaluation'!$A$46:$F$120,6,0),""))&amp;""</f>
        <v/>
      </c>
      <c r="G38" s="206"/>
      <c r="H38" s="205" t="str">
        <f>IFERROR(IF($H37+1&gt;'(backend scoring)'!$Q$335,"",$H37+1),"")</f>
        <v/>
      </c>
      <c r="I38" s="205" t="str">
        <f>_xlfn.XLOOKUP($H38,'(backend scoring)'!$S$2:$S$333,'(backend scoring)'!$A$2:$A$333,"")</f>
        <v/>
      </c>
      <c r="J38" s="205" t="str">
        <f>IFERROR(VLOOKUP($I38,'Institution Evaluation'!$A$55:$F$345,2,0),IFERROR(VLOOKUP($I38,'Privacy Analyst Evaluation'!$A$46:$F$120,2,0),""))</f>
        <v/>
      </c>
      <c r="K38" s="205" t="str">
        <f>IFERROR(VLOOKUP($I38,'Institution Evaluation'!$A$55:$F$345,3,0),IFERROR(VLOOKUP($I38,'Privacy Analyst Evaluation'!$A$46:$F$120,3,0),""))&amp;""</f>
        <v/>
      </c>
      <c r="L38" s="205" t="str">
        <f>IFERROR(VLOOKUP($I38,'Institution Evaluation'!$A$55:$F$345,4,0),IFERROR(VLOOKUP($I38,'Privacy Analyst Evaluation'!$A$46:$F$120,4,0),""))&amp;""</f>
        <v/>
      </c>
      <c r="M38" s="205" t="str">
        <f>IFERROR(VLOOKUP($I38,'Institution Evaluation'!$A$55:$F$345,6,0),IFERROR(VLOOKUP($I38,'Privacy Analyst Evaluation'!$A$46:$F$120,6,0),""))&amp;""</f>
        <v/>
      </c>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row>
    <row r="39" spans="1:338" ht="409.5" x14ac:dyDescent="0.3">
      <c r="A39" s="205">
        <f>IFERROR(IF($A38+1&gt;'(backend scoring)'!$T$335,"",$A38+1),"")</f>
        <v>15</v>
      </c>
      <c r="B39" s="205" t="str">
        <f>_xlfn.XLOOKUP($A39,'(backend scoring)'!$V$2:$V$333,'(backend scoring)'!$A$2:$A$333,"")</f>
        <v>APPL-01</v>
      </c>
      <c r="C39" s="205" t="str">
        <f>IFERROR(VLOOKUP($B39,'Institution Evaluation'!$A$55:$F$345,2,0),IFERROR(VLOOKUP($B39,'Privacy Analyst Evaluation'!$A$46:$F$120,2,0),""))&amp;""</f>
        <v>Are access controls for institutional accounts based on structured rules, such as role-based access control (RBAC), attribute-based access control (ABAC), or policy-based access control (PBAC)?*</v>
      </c>
      <c r="D39" s="205" t="str">
        <f>IFERROR(VLOOKUP($B39,'Institution Evaluation'!$A$55:$F$345,3,0),IFERROR(VLOOKUP($B39,'Privacy Analyst Evaluation'!$A$46:$F$120,3,0),""))&amp;""</f>
        <v>Yes</v>
      </c>
      <c r="E39" s="205" t="str">
        <f>IFERROR(VLOOKUP($B39,'Institution Evaluation'!$A$55:$F$345,4,0),IFERROR(VLOOKUP($B39,'Privacy Analyst Evaluation'!$A$46:$F$120,4,0),""))&amp;""</f>
        <v>Preservica implements role-based access control (RBAC). Predefined roles are: Manager User (all functional areas, excluding certain system-wide settings reserved to the SaaS provider); Access User (Explorer interface, search, and access-related reports and workflows); Ingest User (ingest-related reports and workflows); Data Management User (data management reports and workflows); Transform User (preservation-related reports and workflows, plus read access to the Technical Registry); Registry Admin User (modify the Technical Registry); Submitter User (no main application access, limited content access via the CMIS and REST APIs); and Anonymous User (no main application access, limited content access via the CMIS and REST APIs). Each predefined role can be granted permissions scoped to specific content tags, and institutions can define their own custom roles with permissions similarly scoped. Institutions configure roles and permissions within their tenancy in line with their own security policies.</v>
      </c>
      <c r="F39" s="205" t="str">
        <f>IFERROR(VLOOKUP($B39,'Institution Evaluation'!$A$55:$F$345,6,0),IFERROR(VLOOKUP($B39,'Privacy Analyst Evaluation'!$A$46:$F$120,6,0),""))&amp;""</f>
        <v/>
      </c>
      <c r="G39" s="206"/>
      <c r="H39" s="205" t="str">
        <f>IFERROR(IF($H38+1&gt;'(backend scoring)'!$Q$335,"",$H38+1),"")</f>
        <v/>
      </c>
      <c r="I39" s="205" t="str">
        <f>_xlfn.XLOOKUP($H39,'(backend scoring)'!$S$2:$S$333,'(backend scoring)'!$A$2:$A$333,"")</f>
        <v/>
      </c>
      <c r="J39" s="205" t="str">
        <f>IFERROR(VLOOKUP($I39,'Institution Evaluation'!$A$55:$F$345,2,0),IFERROR(VLOOKUP($I39,'Privacy Analyst Evaluation'!$A$46:$F$120,2,0),""))</f>
        <v/>
      </c>
      <c r="K39" s="205" t="str">
        <f>IFERROR(VLOOKUP($I39,'Institution Evaluation'!$A$55:$F$345,3,0),IFERROR(VLOOKUP($I39,'Privacy Analyst Evaluation'!$A$46:$F$120,3,0),""))&amp;""</f>
        <v/>
      </c>
      <c r="L39" s="205" t="str">
        <f>IFERROR(VLOOKUP($I39,'Institution Evaluation'!$A$55:$F$345,4,0),IFERROR(VLOOKUP($I39,'Privacy Analyst Evaluation'!$A$46:$F$120,4,0),""))&amp;""</f>
        <v/>
      </c>
      <c r="M39" s="205" t="str">
        <f>IFERROR(VLOOKUP($I39,'Institution Evaluation'!$A$55:$F$345,6,0),IFERROR(VLOOKUP($I39,'Privacy Analyst Evaluation'!$A$46:$F$120,6,0),""))&amp;""</f>
        <v/>
      </c>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row>
    <row r="40" spans="1:338" ht="315" x14ac:dyDescent="0.3">
      <c r="A40" s="205">
        <f>IFERROR(IF($A39+1&gt;'(backend scoring)'!$T$335,"",$A39+1),"")</f>
        <v>16</v>
      </c>
      <c r="B40" s="205" t="str">
        <f>_xlfn.XLOOKUP($A40,'(backend scoring)'!$V$2:$V$333,'(backend scoring)'!$A$2:$A$333,"")</f>
        <v>APPL-02</v>
      </c>
      <c r="C40" s="205" t="str">
        <f>IFERROR(VLOOKUP($B40,'Institution Evaluation'!$A$55:$F$345,2,0),IFERROR(VLOOKUP($B40,'Privacy Analyst Evaluation'!$A$46:$F$120,2,0),""))&amp;""</f>
        <v>Are you using a web application firewall (WAF)?*</v>
      </c>
      <c r="D40" s="205" t="str">
        <f>IFERROR(VLOOKUP($B40,'Institution Evaluation'!$A$55:$F$345,3,0),IFERROR(VLOOKUP($B40,'Privacy Analyst Evaluation'!$A$46:$F$120,3,0),""))&amp;""</f>
        <v>Yes</v>
      </c>
      <c r="E40" s="205" t="str">
        <f>IFERROR(VLOOKUP($B40,'Institution Evaluation'!$A$55:$F$345,4,0),IFERROR(VLOOKUP($B40,'Privacy Analyst Evaluation'!$A$46:$F$120,4,0),""))&amp;""</f>
        <v>Preservica's SaaS infrastructure includes a Cloudflare Web Application Firewall protecting customer production domains, with Cloudflare managed rules enabled. It is included in the subscription for Professional edition and above. All customer environments additionally include DDoS protection, which the Web Application Firewall detects and mitigates. Further information on Preservica's security controls is published at https://preservica.com/trust-center.</v>
      </c>
      <c r="F40" s="205" t="str">
        <f>IFERROR(VLOOKUP($B40,'Institution Evaluation'!$A$55:$F$345,6,0),IFERROR(VLOOKUP($B40,'Privacy Analyst Evaluation'!$A$46:$F$120,6,0),""))&amp;""</f>
        <v/>
      </c>
      <c r="G40" s="206"/>
      <c r="H40" s="205" t="str">
        <f>IFERROR(IF($H39+1&gt;'(backend scoring)'!$Q$335,"",$H39+1),"")</f>
        <v/>
      </c>
      <c r="I40" s="205" t="str">
        <f>_xlfn.XLOOKUP($H40,'(backend scoring)'!$S$2:$S$333,'(backend scoring)'!$A$2:$A$333,"")</f>
        <v/>
      </c>
      <c r="J40" s="205" t="str">
        <f>IFERROR(VLOOKUP($I40,'Institution Evaluation'!$A$55:$F$345,2,0),IFERROR(VLOOKUP($I40,'Privacy Analyst Evaluation'!$A$46:$F$120,2,0),""))</f>
        <v/>
      </c>
      <c r="K40" s="205" t="str">
        <f>IFERROR(VLOOKUP($I40,'Institution Evaluation'!$A$55:$F$345,3,0),IFERROR(VLOOKUP($I40,'Privacy Analyst Evaluation'!$A$46:$F$120,3,0),""))&amp;""</f>
        <v/>
      </c>
      <c r="L40" s="205" t="str">
        <f>IFERROR(VLOOKUP($I40,'Institution Evaluation'!$A$55:$F$345,4,0),IFERROR(VLOOKUP($I40,'Privacy Analyst Evaluation'!$A$46:$F$120,4,0),""))&amp;""</f>
        <v/>
      </c>
      <c r="M40" s="205" t="str">
        <f>IFERROR(VLOOKUP($I40,'Institution Evaluation'!$A$55:$F$345,6,0),IFERROR(VLOOKUP($I40,'Privacy Analyst Evaluation'!$A$46:$F$120,6,0),""))&amp;""</f>
        <v/>
      </c>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row>
    <row r="41" spans="1:338" ht="409.5" x14ac:dyDescent="0.3">
      <c r="A41" s="205">
        <f>IFERROR(IF($A40+1&gt;'(backend scoring)'!$T$335,"",$A40+1),"")</f>
        <v>17</v>
      </c>
      <c r="B41" s="205" t="str">
        <f>_xlfn.XLOOKUP($A41,'(backend scoring)'!$V$2:$V$333,'(backend scoring)'!$A$2:$A$333,"")</f>
        <v>APPL-03</v>
      </c>
      <c r="C41" s="205" t="str">
        <f>IFERROR(VLOOKUP($B41,'Institution Evaluation'!$A$55:$F$345,2,0),IFERROR(VLOOKUP($B41,'Privacy Analyst Evaluation'!$A$46:$F$120,2,0),""))&amp;""</f>
        <v>Are only currently supported operating system(s), software, and libraries leveraged by the system(s)/application(s) that will have access to institution's data?*</v>
      </c>
      <c r="D41" s="205" t="str">
        <f>IFERROR(VLOOKUP($B41,'Institution Evaluation'!$A$55:$F$345,3,0),IFERROR(VLOOKUP($B41,'Privacy Analyst Evaluation'!$A$46:$F$120,3,0),""))&amp;""</f>
        <v>Yes</v>
      </c>
      <c r="E41" s="205" t="str">
        <f>IFERROR(VLOOKUP($B41,'Institution Evaluation'!$A$55:$F$345,4,0),IFERROR(VLOOKUP($B41,'Privacy Analyst Evaluation'!$A$46:$F$120,4,0),""))&amp;""</f>
        <v>Preservica is a SaaS platform and manages all components itself; the institution has no dependencies to install or maintain. To the extent reasonably and commercially possible, all components used within the platform are kept up to date and in line with vendor-supported versions. An end-of-life or end-of-support component version may be retained only where no known vulnerabilities are present in that version; on detection of a vulnerability in such a component it is remediated under Preservica's Vulnerability and Patch Management Policy. All new third-party and open-source components are reviewed and approved before adoption, are recorded in an authoritative component register reviewed annually, and are monitored continuously by automated static analysis and dependency-analysis tooling for both vulnerabilities and licence risk. These controls fall within the scope of Preservica's ISO/IEC 27001:2022 certification and are independently tested within its annual SOC 2 Type II audit. A component-level inventory is not published.</v>
      </c>
      <c r="F41" s="205" t="str">
        <f>IFERROR(VLOOKUP($B41,'Institution Evaluation'!$A$55:$F$345,6,0),IFERROR(VLOOKUP($B41,'Privacy Analyst Evaluation'!$A$46:$F$120,6,0),""))&amp;""</f>
        <v/>
      </c>
      <c r="G41" s="206"/>
      <c r="H41" s="205" t="str">
        <f>IFERROR(IF($H40+1&gt;'(backend scoring)'!$Q$335,"",$H40+1),"")</f>
        <v/>
      </c>
      <c r="I41" s="205" t="str">
        <f>_xlfn.XLOOKUP($H41,'(backend scoring)'!$S$2:$S$333,'(backend scoring)'!$A$2:$A$333,"")</f>
        <v/>
      </c>
      <c r="J41" s="205" t="str">
        <f>IFERROR(VLOOKUP($I41,'Institution Evaluation'!$A$55:$F$345,2,0),IFERROR(VLOOKUP($I41,'Privacy Analyst Evaluation'!$A$46:$F$120,2,0),""))</f>
        <v/>
      </c>
      <c r="K41" s="205" t="str">
        <f>IFERROR(VLOOKUP($I41,'Institution Evaluation'!$A$55:$F$345,3,0),IFERROR(VLOOKUP($I41,'Privacy Analyst Evaluation'!$A$46:$F$120,3,0),""))&amp;""</f>
        <v/>
      </c>
      <c r="L41" s="205" t="str">
        <f>IFERROR(VLOOKUP($I41,'Institution Evaluation'!$A$55:$F$345,4,0),IFERROR(VLOOKUP($I41,'Privacy Analyst Evaluation'!$A$46:$F$120,4,0),""))&amp;""</f>
        <v/>
      </c>
      <c r="M41" s="205" t="str">
        <f>IFERROR(VLOOKUP($I41,'Institution Evaluation'!$A$55:$F$345,6,0),IFERROR(VLOOKUP($I41,'Privacy Analyst Evaluation'!$A$46:$F$120,6,0),""))&amp;""</f>
        <v/>
      </c>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row>
    <row r="42" spans="1:338" ht="90" x14ac:dyDescent="0.3">
      <c r="A42" s="205">
        <f>IFERROR(IF($A41+1&gt;'(backend scoring)'!$T$335,"",$A41+1),"")</f>
        <v>18</v>
      </c>
      <c r="B42" s="205" t="str">
        <f>_xlfn.XLOOKUP($A42,'(backend scoring)'!$V$2:$V$333,'(backend scoring)'!$A$2:$A$333,"")</f>
        <v>APPL-04</v>
      </c>
      <c r="C42" s="205" t="str">
        <f>IFERROR(VLOOKUP($B42,'Institution Evaluation'!$A$55:$F$345,2,0),IFERROR(VLOOKUP($B42,'Privacy Analyst Evaluation'!$A$46:$F$120,2,0),""))&amp;""</f>
        <v>Does your application require access to location or GPS data?*</v>
      </c>
      <c r="D42" s="205" t="str">
        <f>IFERROR(VLOOKUP($B42,'Institution Evaluation'!$A$55:$F$345,3,0),IFERROR(VLOOKUP($B42,'Privacy Analyst Evaluation'!$A$46:$F$120,3,0),""))&amp;""</f>
        <v>No</v>
      </c>
      <c r="E42" s="205" t="str">
        <f>IFERROR(VLOOKUP($B42,'Institution Evaluation'!$A$55:$F$345,4,0),IFERROR(VLOOKUP($B42,'Privacy Analyst Evaluation'!$A$46:$F$120,4,0),""))&amp;""</f>
        <v>The application does not require or request access to device location or GPS data, and there are no plans to introduce such a requirement.</v>
      </c>
      <c r="F42" s="205" t="str">
        <f>IFERROR(VLOOKUP($B42,'Institution Evaluation'!$A$55:$F$345,6,0),IFERROR(VLOOKUP($B42,'Privacy Analyst Evaluation'!$A$46:$F$120,6,0),""))&amp;""</f>
        <v/>
      </c>
      <c r="G42" s="206"/>
      <c r="H42" s="205" t="str">
        <f>IFERROR(IF($H41+1&gt;'(backend scoring)'!$Q$335,"",$H41+1),"")</f>
        <v/>
      </c>
      <c r="I42" s="205" t="str">
        <f>_xlfn.XLOOKUP($H42,'(backend scoring)'!$S$2:$S$333,'(backend scoring)'!$A$2:$A$333,"")</f>
        <v/>
      </c>
      <c r="J42" s="205" t="str">
        <f>IFERROR(VLOOKUP($I42,'Institution Evaluation'!$A$55:$F$345,2,0),IFERROR(VLOOKUP($I42,'Privacy Analyst Evaluation'!$A$46:$F$120,2,0),""))</f>
        <v/>
      </c>
      <c r="K42" s="205" t="str">
        <f>IFERROR(VLOOKUP($I42,'Institution Evaluation'!$A$55:$F$345,3,0),IFERROR(VLOOKUP($I42,'Privacy Analyst Evaluation'!$A$46:$F$120,3,0),""))&amp;""</f>
        <v/>
      </c>
      <c r="L42" s="205" t="str">
        <f>IFERROR(VLOOKUP($I42,'Institution Evaluation'!$A$55:$F$345,4,0),IFERROR(VLOOKUP($I42,'Privacy Analyst Evaluation'!$A$46:$F$120,4,0),""))&amp;""</f>
        <v/>
      </c>
      <c r="M42" s="205" t="str">
        <f>IFERROR(VLOOKUP($I42,'Institution Evaluation'!$A$55:$F$345,6,0),IFERROR(VLOOKUP($I42,'Privacy Analyst Evaluation'!$A$46:$F$120,6,0),""))&amp;""</f>
        <v/>
      </c>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row>
    <row r="43" spans="1:338" ht="409.5" x14ac:dyDescent="0.3">
      <c r="A43" s="205">
        <f>IFERROR(IF($A42+1&gt;'(backend scoring)'!$T$335,"",$A42+1),"")</f>
        <v>19</v>
      </c>
      <c r="B43" s="205" t="str">
        <f>_xlfn.XLOOKUP($A43,'(backend scoring)'!$V$2:$V$333,'(backend scoring)'!$A$2:$A$333,"")</f>
        <v>APPL-05</v>
      </c>
      <c r="C43" s="205" t="str">
        <f>IFERROR(VLOOKUP($B43,'Institution Evaluation'!$A$55:$F$345,2,0),IFERROR(VLOOKUP($B43,'Privacy Analyst Evaluation'!$A$46:$F$120,2,0),""))&amp;""</f>
        <v>Does your application provide separation of duties between security administration, system administration, and standard user functions?*</v>
      </c>
      <c r="D43" s="205" t="str">
        <f>IFERROR(VLOOKUP($B43,'Institution Evaluation'!$A$55:$F$345,3,0),IFERROR(VLOOKUP($B43,'Privacy Analyst Evaluation'!$A$46:$F$120,3,0),""))&amp;""</f>
        <v>Yes</v>
      </c>
      <c r="E43" s="205" t="str">
        <f>IFERROR(VLOOKUP($B43,'Institution Evaluation'!$A$55:$F$345,4,0),IFERROR(VLOOKUP($B43,'Privacy Analyst Evaluation'!$A$46:$F$120,4,0),""))&amp;""</f>
        <v>Separation of duties is supported at two levels. Within the application, functional areas are separated across distinct predefined roles — access, ingest, data management, preservation/transform, and technical registry administration — and the Manager User role deliberately excludes certain system-wide settings, which are reserved to Preservica as the SaaS provider. Permissions for any predefined or custom role can be scoped to specific content tags, allowing institutions to separate security administration from day-to-day system and user functions in line with their own policies. Outside the application, Preservica maintains segregation of duties in its own operation of the service: source code changes require review and approval by a second person, development, test and production environments are separated, and production deployment is automated with production access restricted to authorised Operations staff. These controls are independently tested within Preservica's annual SOC 2 Type II audit.</v>
      </c>
      <c r="F43" s="205" t="str">
        <f>IFERROR(VLOOKUP($B43,'Institution Evaluation'!$A$55:$F$345,6,0),IFERROR(VLOOKUP($B43,'Privacy Analyst Evaluation'!$A$46:$F$120,6,0),""))&amp;""</f>
        <v/>
      </c>
      <c r="G43" s="206"/>
      <c r="H43" s="205" t="str">
        <f>IFERROR(IF($H42+1&gt;'(backend scoring)'!$Q$335,"",$H42+1),"")</f>
        <v/>
      </c>
      <c r="I43" s="205" t="str">
        <f>_xlfn.XLOOKUP($H43,'(backend scoring)'!$S$2:$S$333,'(backend scoring)'!$A$2:$A$333,"")</f>
        <v/>
      </c>
      <c r="J43" s="205" t="str">
        <f>IFERROR(VLOOKUP($I43,'Institution Evaluation'!$A$55:$F$345,2,0),IFERROR(VLOOKUP($I43,'Privacy Analyst Evaluation'!$A$46:$F$120,2,0),""))</f>
        <v/>
      </c>
      <c r="K43" s="205" t="str">
        <f>IFERROR(VLOOKUP($I43,'Institution Evaluation'!$A$55:$F$345,3,0),IFERROR(VLOOKUP($I43,'Privacy Analyst Evaluation'!$A$46:$F$120,3,0),""))&amp;""</f>
        <v/>
      </c>
      <c r="L43" s="205" t="str">
        <f>IFERROR(VLOOKUP($I43,'Institution Evaluation'!$A$55:$F$345,4,0),IFERROR(VLOOKUP($I43,'Privacy Analyst Evaluation'!$A$46:$F$120,4,0),""))&amp;""</f>
        <v/>
      </c>
      <c r="M43" s="205" t="str">
        <f>IFERROR(VLOOKUP($I43,'Institution Evaluation'!$A$55:$F$345,6,0),IFERROR(VLOOKUP($I43,'Privacy Analyst Evaluation'!$A$46:$F$120,6,0),""))&amp;""</f>
        <v/>
      </c>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row>
    <row r="44" spans="1:338" ht="409.5" x14ac:dyDescent="0.3">
      <c r="A44" s="205">
        <f>IFERROR(IF($A43+1&gt;'(backend scoring)'!$T$335,"",$A43+1),"")</f>
        <v>20</v>
      </c>
      <c r="B44" s="205" t="str">
        <f>_xlfn.XLOOKUP($A44,'(backend scoring)'!$V$2:$V$333,'(backend scoring)'!$A$2:$A$333,"")</f>
        <v>APPL-06</v>
      </c>
      <c r="C44" s="205" t="str">
        <f>IFERROR(VLOOKUP($B44,'Institution Evaluation'!$A$55:$F$345,2,0),IFERROR(VLOOKUP($B44,'Privacy Analyst Evaluation'!$A$46:$F$120,2,0),""))&amp;""</f>
        <v>Do you subject your code to static code analysis and/or static application security testing prior to release?*</v>
      </c>
      <c r="D44" s="205" t="str">
        <f>IFERROR(VLOOKUP($B44,'Institution Evaluation'!$A$55:$F$345,3,0),IFERROR(VLOOKUP($B44,'Privacy Analyst Evaluation'!$A$46:$F$120,3,0),""))&amp;""</f>
        <v>Yes</v>
      </c>
      <c r="E44" s="205" t="str">
        <f>IFERROR(VLOOKUP($B44,'Institution Evaluation'!$A$55:$F$345,4,0),IFERROR(VLOOKUP($B44,'Privacy Analyst Evaluation'!$A$46:$F$120,4,0),""))&amp;""</f>
        <v>Static Application Security Testing (SAST) is integrated into developer IDEs and enforced at every pull request, covering the application source code and its third-party and open-source dependencies, and checking for vulnerabilities, licensing issues and hard-coded secrets. No source code change is accepted into the main branch without both a second-person review and a SAST review. Dynamic Application Security Testing is additionally applied as a release gate against every release candidate, infrastructure vulnerability scanning runs continuously, and an independent penetration test is performed at least annually by a CREST-certified third party. Specific tool names are not disclosed.</v>
      </c>
      <c r="F44" s="205" t="str">
        <f>IFERROR(VLOOKUP($B44,'Institution Evaluation'!$A$55:$F$345,6,0),IFERROR(VLOOKUP($B44,'Privacy Analyst Evaluation'!$A$46:$F$120,6,0),""))&amp;""</f>
        <v/>
      </c>
      <c r="G44" s="206"/>
      <c r="H44" s="205" t="str">
        <f>IFERROR(IF($H43+1&gt;'(backend scoring)'!$Q$335,"",$H43+1),"")</f>
        <v/>
      </c>
      <c r="I44" s="205" t="str">
        <f>_xlfn.XLOOKUP($H44,'(backend scoring)'!$S$2:$S$333,'(backend scoring)'!$A$2:$A$333,"")</f>
        <v/>
      </c>
      <c r="J44" s="205" t="str">
        <f>IFERROR(VLOOKUP($I44,'Institution Evaluation'!$A$55:$F$345,2,0),IFERROR(VLOOKUP($I44,'Privacy Analyst Evaluation'!$A$46:$F$120,2,0),""))</f>
        <v/>
      </c>
      <c r="K44" s="205" t="str">
        <f>IFERROR(VLOOKUP($I44,'Institution Evaluation'!$A$55:$F$345,3,0),IFERROR(VLOOKUP($I44,'Privacy Analyst Evaluation'!$A$46:$F$120,3,0),""))&amp;""</f>
        <v/>
      </c>
      <c r="L44" s="205" t="str">
        <f>IFERROR(VLOOKUP($I44,'Institution Evaluation'!$A$55:$F$345,4,0),IFERROR(VLOOKUP($I44,'Privacy Analyst Evaluation'!$A$46:$F$120,4,0),""))&amp;""</f>
        <v/>
      </c>
      <c r="M44" s="205" t="str">
        <f>IFERROR(VLOOKUP($I44,'Institution Evaluation'!$A$55:$F$345,6,0),IFERROR(VLOOKUP($I44,'Privacy Analyst Evaluation'!$A$46:$F$120,6,0),""))&amp;""</f>
        <v/>
      </c>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row>
    <row r="45" spans="1:338" ht="409.5" x14ac:dyDescent="0.3">
      <c r="A45" s="205">
        <f>IFERROR(IF($A44+1&gt;'(backend scoring)'!$T$335,"",$A44+1),"")</f>
        <v>21</v>
      </c>
      <c r="B45" s="205" t="str">
        <f>_xlfn.XLOOKUP($A45,'(backend scoring)'!$V$2:$V$333,'(backend scoring)'!$A$2:$A$333,"")</f>
        <v>APPL-07</v>
      </c>
      <c r="C45" s="205" t="str">
        <f>IFERROR(VLOOKUP($B45,'Institution Evaluation'!$A$55:$F$345,2,0),IFERROR(VLOOKUP($B45,'Privacy Analyst Evaluation'!$A$46:$F$120,2,0),""))&amp;""</f>
        <v>Do you have software testing processes (dynamic or static) that are established and followed?*</v>
      </c>
      <c r="D45" s="205" t="str">
        <f>IFERROR(VLOOKUP($B45,'Institution Evaluation'!$A$55:$F$345,3,0),IFERROR(VLOOKUP($B45,'Privacy Analyst Evaluation'!$A$46:$F$120,3,0),""))&amp;""</f>
        <v>Yes</v>
      </c>
      <c r="E45" s="205" t="str">
        <f>IFERROR(VLOOKUP($B45,'Institution Evaluation'!$A$55:$F$345,4,0),IFERROR(VLOOKUP($B45,'Privacy Analyst Evaluation'!$A$46:$F$120,4,0),""))&amp;""</f>
        <v>Testing is governed by Preservica's documented Secure Development Policy and Change Management procedure. System designs are assessed against the OWASP Top 10 (2025) categories at the design phase and peer-reviewed at Technical Review meetings attended by engineering, DevOps and Operations personnel, senior engineers, and a representative from Information Security. During development, static application security testing runs in developer IDEs and on every pull request, and every source code change requires second-person review and approval before acceptance into the main branch. Before release, automated build and functional testing and Dynamic Application Security Testing are completed against every release candidate; Dynamic Application Security Testing acts as a release gate. Changes are documented in tickets with quality assurance prior to implementation and are approved by a Change Advisory Board chaired by the Operations Director as Change Manager. Customer production data is never used in test environments. These controls are independently tested within Preservica's annual SOC 2 Type II audit.</v>
      </c>
      <c r="F45" s="205" t="str">
        <f>IFERROR(VLOOKUP($B45,'Institution Evaluation'!$A$55:$F$345,6,0),IFERROR(VLOOKUP($B45,'Privacy Analyst Evaluation'!$A$46:$F$120,6,0),""))&amp;""</f>
        <v/>
      </c>
      <c r="G45" s="206"/>
      <c r="H45" s="205" t="str">
        <f>IFERROR(IF($H44+1&gt;'(backend scoring)'!$Q$335,"",$H44+1),"")</f>
        <v/>
      </c>
      <c r="I45" s="205" t="str">
        <f>_xlfn.XLOOKUP($H45,'(backend scoring)'!$S$2:$S$333,'(backend scoring)'!$A$2:$A$333,"")</f>
        <v/>
      </c>
      <c r="J45" s="205" t="str">
        <f>IFERROR(VLOOKUP($I45,'Institution Evaluation'!$A$55:$F$345,2,0),IFERROR(VLOOKUP($I45,'Privacy Analyst Evaluation'!$A$46:$F$120,2,0),""))</f>
        <v/>
      </c>
      <c r="K45" s="205" t="str">
        <f>IFERROR(VLOOKUP($I45,'Institution Evaluation'!$A$55:$F$345,3,0),IFERROR(VLOOKUP($I45,'Privacy Analyst Evaluation'!$A$46:$F$120,3,0),""))&amp;""</f>
        <v/>
      </c>
      <c r="L45" s="205" t="str">
        <f>IFERROR(VLOOKUP($I45,'Institution Evaluation'!$A$55:$F$345,4,0),IFERROR(VLOOKUP($I45,'Privacy Analyst Evaluation'!$A$46:$F$120,4,0),""))&amp;""</f>
        <v/>
      </c>
      <c r="M45" s="205" t="str">
        <f>IFERROR(VLOOKUP($I45,'Institution Evaluation'!$A$55:$F$345,6,0),IFERROR(VLOOKUP($I45,'Privacy Analyst Evaluation'!$A$46:$F$120,6,0),""))&amp;""</f>
        <v/>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row>
    <row r="46" spans="1:338" ht="409.5" x14ac:dyDescent="0.3">
      <c r="A46" s="205">
        <f>IFERROR(IF($A45+1&gt;'(backend scoring)'!$T$335,"",$A45+1),"")</f>
        <v>22</v>
      </c>
      <c r="B46" s="205" t="str">
        <f>_xlfn.XLOOKUP($A46,'(backend scoring)'!$V$2:$V$333,'(backend scoring)'!$A$2:$A$333,"")</f>
        <v>AAAI-01</v>
      </c>
      <c r="C46" s="205" t="str">
        <f>IFERROR(VLOOKUP($B46,'Institution Evaluation'!$A$55:$F$345,2,0),IFERROR(VLOOKUP($B46,'Privacy Analyst Evaluation'!$A$46:$F$120,2,0),""))&amp;""</f>
        <v>Does your solution support single sign-on (SSO) protocols for user and administrator authentication?*</v>
      </c>
      <c r="D46" s="205" t="str">
        <f>IFERROR(VLOOKUP($B46,'Institution Evaluation'!$A$55:$F$345,3,0),IFERROR(VLOOKUP($B46,'Privacy Analyst Evaluation'!$A$46:$F$120,3,0),""))&amp;""</f>
        <v>Yes</v>
      </c>
      <c r="E46" s="205" t="str">
        <f>IFERROR(VLOOKUP($B46,'Institution Evaluation'!$A$55:$F$345,4,0),IFERROR(VLOOKUP($B46,'Privacy Analyst Evaluation'!$A$46:$F$120,4,0),""))&amp;""</f>
        <v>Preservica supports SAML 2.0-based Single Sign-On for user and administrator authentication, available on Enterprise edition and above. Microsoft Entra ID (Azure AD) is fully supported. Where Single Sign-On is used, authentication strength is delegated to and enforced by the institution's own Identity Provider — including password complexity and ageing, re-use restrictions, multi-factor authentication, certificate-based authentication and biometrics. SAML assertions are exchanged over TLS 1.2 or TLS 1.3 only; all earlier TLS and SSL versions are disabled. Where an institution does not use Single Sign-On, Preservica's built-in local authentication applies the password rules stated in AAAI-04, and two-factor authentication is available on Professional edition and above.</v>
      </c>
      <c r="F46" s="205" t="str">
        <f>IFERROR(VLOOKUP($B46,'Institution Evaluation'!$A$55:$F$345,6,0),IFERROR(VLOOKUP($B46,'Privacy Analyst Evaluation'!$A$46:$F$120,6,0),""))&amp;""</f>
        <v/>
      </c>
      <c r="G46" s="206"/>
      <c r="H46" s="205" t="str">
        <f>IFERROR(IF($H45+1&gt;'(backend scoring)'!$Q$335,"",$H45+1),"")</f>
        <v/>
      </c>
      <c r="I46" s="205" t="str">
        <f>_xlfn.XLOOKUP($H46,'(backend scoring)'!$S$2:$S$333,'(backend scoring)'!$A$2:$A$333,"")</f>
        <v/>
      </c>
      <c r="J46" s="205" t="str">
        <f>IFERROR(VLOOKUP($I46,'Institution Evaluation'!$A$55:$F$345,2,0),IFERROR(VLOOKUP($I46,'Privacy Analyst Evaluation'!$A$46:$F$120,2,0),""))</f>
        <v/>
      </c>
      <c r="K46" s="205" t="str">
        <f>IFERROR(VLOOKUP($I46,'Institution Evaluation'!$A$55:$F$345,3,0),IFERROR(VLOOKUP($I46,'Privacy Analyst Evaluation'!$A$46:$F$120,3,0),""))&amp;""</f>
        <v/>
      </c>
      <c r="L46" s="205" t="str">
        <f>IFERROR(VLOOKUP($I46,'Institution Evaluation'!$A$55:$F$345,4,0),IFERROR(VLOOKUP($I46,'Privacy Analyst Evaluation'!$A$46:$F$120,4,0),""))&amp;""</f>
        <v/>
      </c>
      <c r="M46" s="205" t="str">
        <f>IFERROR(VLOOKUP($I46,'Institution Evaluation'!$A$55:$F$345,6,0),IFERROR(VLOOKUP($I46,'Privacy Analyst Evaluation'!$A$46:$F$120,6,0),""))&amp;""</f>
        <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row>
    <row r="47" spans="1:338" ht="409.5" x14ac:dyDescent="0.3">
      <c r="A47" s="205">
        <f>IFERROR(IF($A46+1&gt;'(backend scoring)'!$T$335,"",$A46+1),"")</f>
        <v>23</v>
      </c>
      <c r="B47" s="205" t="str">
        <f>_xlfn.XLOOKUP($A47,'(backend scoring)'!$V$2:$V$333,'(backend scoring)'!$A$2:$A$333,"")</f>
        <v>AAAI-02</v>
      </c>
      <c r="C47" s="205" t="str">
        <f>IFERROR(VLOOKUP($B47,'Institution Evaluation'!$A$55:$F$345,2,0),IFERROR(VLOOKUP($B47,'Privacy Analyst Evaluation'!$A$46:$F$120,2,0),""))&amp;""</f>
        <v>For customers not using SSO, does your solution support local authentication protocols for user and administrator authentication?*</v>
      </c>
      <c r="D47" s="205" t="str">
        <f>IFERROR(VLOOKUP($B47,'Institution Evaluation'!$A$55:$F$345,3,0),IFERROR(VLOOKUP($B47,'Privacy Analyst Evaluation'!$A$46:$F$120,3,0),""))&amp;""</f>
        <v>Yes</v>
      </c>
      <c r="E47" s="205" t="str">
        <f>IFERROR(VLOOKUP($B47,'Institution Evaluation'!$A$55:$F$345,4,0),IFERROR(VLOOKUP($B47,'Privacy Analyst Evaluation'!$A$46:$F$120,4,0),""))&amp;""</f>
        <v>Preservica provides a platform-native local authentication directory for institutions that do not use Single Sign-On. Local accounts are used for both user and administrator access, and are created and administered by the institution's own platform administrators. Local passwords must be between 8 and 64 characters in length and must contain at least 3 of the following 4 character classes: uppercase letters, lowercase letters, numbers, and symbols. Two-factor authentication is available for local authentication on Professional edition and above and is enabled at tenancy level. Access rights for local accounts are governed by the platform's role-based access control model, with permissions assignable to predefined or custom roles and scoped to specific content. User sessions are automatically terminated after a maximum of 15 minutes of inactivity.</v>
      </c>
      <c r="F47" s="205" t="str">
        <f>IFERROR(VLOOKUP($B47,'Institution Evaluation'!$A$55:$F$345,6,0),IFERROR(VLOOKUP($B47,'Privacy Analyst Evaluation'!$A$46:$F$120,6,0),""))&amp;""</f>
        <v/>
      </c>
      <c r="G47" s="206"/>
      <c r="H47" s="205" t="str">
        <f>IFERROR(IF($H46+1&gt;'(backend scoring)'!$Q$335,"",$H46+1),"")</f>
        <v/>
      </c>
      <c r="I47" s="205" t="str">
        <f>_xlfn.XLOOKUP($H47,'(backend scoring)'!$S$2:$S$333,'(backend scoring)'!$A$2:$A$333,"")</f>
        <v/>
      </c>
      <c r="J47" s="205" t="str">
        <f>IFERROR(VLOOKUP($I47,'Institution Evaluation'!$A$55:$F$345,2,0),IFERROR(VLOOKUP($I47,'Privacy Analyst Evaluation'!$A$46:$F$120,2,0),""))</f>
        <v/>
      </c>
      <c r="K47" s="205" t="str">
        <f>IFERROR(VLOOKUP($I47,'Institution Evaluation'!$A$55:$F$345,3,0),IFERROR(VLOOKUP($I47,'Privacy Analyst Evaluation'!$A$46:$F$120,3,0),""))&amp;""</f>
        <v/>
      </c>
      <c r="L47" s="205" t="str">
        <f>IFERROR(VLOOKUP($I47,'Institution Evaluation'!$A$55:$F$345,4,0),IFERROR(VLOOKUP($I47,'Privacy Analyst Evaluation'!$A$46:$F$120,4,0),""))&amp;""</f>
        <v/>
      </c>
      <c r="M47" s="205" t="str">
        <f>IFERROR(VLOOKUP($I47,'Institution Evaluation'!$A$55:$F$345,6,0),IFERROR(VLOOKUP($I47,'Privacy Analyst Evaluation'!$A$46:$F$120,6,0),""))&amp;""</f>
        <v/>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row>
    <row r="48" spans="1:338" ht="300" x14ac:dyDescent="0.3">
      <c r="A48" s="205">
        <f>IFERROR(IF($A47+1&gt;'(backend scoring)'!$T$335,"",$A47+1),"")</f>
        <v>24</v>
      </c>
      <c r="B48" s="205" t="str">
        <f>_xlfn.XLOOKUP($A48,'(backend scoring)'!$V$2:$V$333,'(backend scoring)'!$A$2:$A$333,"")</f>
        <v>AAAI-03</v>
      </c>
      <c r="C48" s="205" t="str">
        <f>IFERROR(VLOOKUP($B48,'Institution Evaluation'!$A$55:$F$345,2,0),IFERROR(VLOOKUP($B48,'Privacy Analyst Evaluation'!$A$46:$F$120,2,0),""))&amp;""</f>
        <v>For customers not using SSO, can you enforce password/passphrase complexity requirements (provided by the institution)?*</v>
      </c>
      <c r="D48" s="205" t="str">
        <f>IFERROR(VLOOKUP($B48,'Institution Evaluation'!$A$55:$F$345,3,0),IFERROR(VLOOKUP($B48,'Privacy Analyst Evaluation'!$A$46:$F$120,3,0),""))&amp;""</f>
        <v>No</v>
      </c>
      <c r="E48" s="205" t="str">
        <f>IFERROR(VLOOKUP($B48,'Institution Evaluation'!$A$55:$F$345,4,0),IFERROR(VLOOKUP($B48,'Privacy Analyst Evaluation'!$A$46:$F$120,4,0),""))&amp;""</f>
        <v>Where Preservica's built-in local authentication is used, the platform applies its own fixed password complexity requirements: passwords must be between 8 and 64 characters in length and must contain at least 3 of the following 4 character classes: uppercase letters, lowercase letters, numbers, and symbols. These requirements are platform-set and cannot be reconfigured to apply an institution-supplied password or passphrase policy.</v>
      </c>
      <c r="F48" s="205" t="str">
        <f>IFERROR(VLOOKUP($B48,'Institution Evaluation'!$A$55:$F$345,6,0),IFERROR(VLOOKUP($B48,'Privacy Analyst Evaluation'!$A$46:$F$120,6,0),""))&amp;""</f>
        <v/>
      </c>
      <c r="G48" s="206"/>
      <c r="H48" s="205" t="str">
        <f>IFERROR(IF($H47+1&gt;'(backend scoring)'!$Q$335,"",$H47+1),"")</f>
        <v/>
      </c>
      <c r="I48" s="205" t="str">
        <f>_xlfn.XLOOKUP($H48,'(backend scoring)'!$S$2:$S$333,'(backend scoring)'!$A$2:$A$333,"")</f>
        <v/>
      </c>
      <c r="J48" s="205" t="str">
        <f>IFERROR(VLOOKUP($I48,'Institution Evaluation'!$A$55:$F$345,2,0),IFERROR(VLOOKUP($I48,'Privacy Analyst Evaluation'!$A$46:$F$120,2,0),""))</f>
        <v/>
      </c>
      <c r="K48" s="205" t="str">
        <f>IFERROR(VLOOKUP($I48,'Institution Evaluation'!$A$55:$F$345,3,0),IFERROR(VLOOKUP($I48,'Privacy Analyst Evaluation'!$A$46:$F$120,3,0),""))&amp;""</f>
        <v/>
      </c>
      <c r="L48" s="205" t="str">
        <f>IFERROR(VLOOKUP($I48,'Institution Evaluation'!$A$55:$F$345,4,0),IFERROR(VLOOKUP($I48,'Privacy Analyst Evaluation'!$A$46:$F$120,4,0),""))&amp;""</f>
        <v/>
      </c>
      <c r="M48" s="205" t="str">
        <f>IFERROR(VLOOKUP($I48,'Institution Evaluation'!$A$55:$F$345,6,0),IFERROR(VLOOKUP($I48,'Privacy Analyst Evaluation'!$A$46:$F$120,6,0),""))&amp;""</f>
        <v/>
      </c>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row>
    <row r="49" spans="1:338" ht="180" x14ac:dyDescent="0.3">
      <c r="A49" s="205">
        <f>IFERROR(IF($A48+1&gt;'(backend scoring)'!$T$335,"",$A48+1),"")</f>
        <v>25</v>
      </c>
      <c r="B49" s="205" t="str">
        <f>_xlfn.XLOOKUP($A49,'(backend scoring)'!$V$2:$V$333,'(backend scoring)'!$A$2:$A$333,"")</f>
        <v>AAAI-04</v>
      </c>
      <c r="C49" s="205" t="str">
        <f>IFERROR(VLOOKUP($B49,'Institution Evaluation'!$A$55:$F$345,2,0),IFERROR(VLOOKUP($B49,'Privacy Analyst Evaluation'!$A$46:$F$120,2,0),""))&amp;""</f>
        <v>For customers not using SSO, does the system have password complexity or length limitations and/or restrictions?*</v>
      </c>
      <c r="D49" s="205" t="str">
        <f>IFERROR(VLOOKUP($B49,'Institution Evaluation'!$A$55:$F$345,3,0),IFERROR(VLOOKUP($B49,'Privacy Analyst Evaluation'!$A$46:$F$120,3,0),""))&amp;""</f>
        <v>Yes</v>
      </c>
      <c r="E49" s="205" t="str">
        <f>IFERROR(VLOOKUP($B49,'Institution Evaluation'!$A$55:$F$345,4,0),IFERROR(VLOOKUP($B49,'Privacy Analyst Evaluation'!$A$46:$F$120,4,0),""))&amp;""</f>
        <v>Local authentication passwords must be between 8 and 64 characters in length — 8 characters is the minimum and 64 the maximum — and must contain at least 3 of the following 4 character classes: uppercase letters, lowercase letters, numbers, and symbols.</v>
      </c>
      <c r="F49" s="205" t="str">
        <f>IFERROR(VLOOKUP($B49,'Institution Evaluation'!$A$55:$F$345,6,0),IFERROR(VLOOKUP($B49,'Privacy Analyst Evaluation'!$A$46:$F$120,6,0),""))&amp;""</f>
        <v/>
      </c>
      <c r="G49" s="206"/>
      <c r="H49" s="205" t="str">
        <f>IFERROR(IF($H48+1&gt;'(backend scoring)'!$Q$335,"",$H48+1),"")</f>
        <v/>
      </c>
      <c r="I49" s="205" t="str">
        <f>_xlfn.XLOOKUP($H49,'(backend scoring)'!$S$2:$S$333,'(backend scoring)'!$A$2:$A$333,"")</f>
        <v/>
      </c>
      <c r="J49" s="205" t="str">
        <f>IFERROR(VLOOKUP($I49,'Institution Evaluation'!$A$55:$F$345,2,0),IFERROR(VLOOKUP($I49,'Privacy Analyst Evaluation'!$A$46:$F$120,2,0),""))</f>
        <v/>
      </c>
      <c r="K49" s="205" t="str">
        <f>IFERROR(VLOOKUP($I49,'Institution Evaluation'!$A$55:$F$345,3,0),IFERROR(VLOOKUP($I49,'Privacy Analyst Evaluation'!$A$46:$F$120,3,0),""))&amp;""</f>
        <v/>
      </c>
      <c r="L49" s="205" t="str">
        <f>IFERROR(VLOOKUP($I49,'Institution Evaluation'!$A$55:$F$345,4,0),IFERROR(VLOOKUP($I49,'Privacy Analyst Evaluation'!$A$46:$F$120,4,0),""))&amp;""</f>
        <v/>
      </c>
      <c r="M49" s="205" t="str">
        <f>IFERROR(VLOOKUP($I49,'Institution Evaluation'!$A$55:$F$345,6,0),IFERROR(VLOOKUP($I49,'Privacy Analyst Evaluation'!$A$46:$F$120,6,0),""))&amp;""</f>
        <v/>
      </c>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row>
    <row r="50" spans="1:338" ht="409.5" x14ac:dyDescent="0.3">
      <c r="A50" s="205">
        <f>IFERROR(IF($A49+1&gt;'(backend scoring)'!$T$335,"",$A49+1),"")</f>
        <v>26</v>
      </c>
      <c r="B50" s="205" t="str">
        <f>_xlfn.XLOOKUP($A50,'(backend scoring)'!$V$2:$V$333,'(backend scoring)'!$A$2:$A$333,"")</f>
        <v>AAAI-05</v>
      </c>
      <c r="C50" s="205" t="str">
        <f>IFERROR(VLOOKUP($B50,'Institution Evaluation'!$A$55:$F$345,2,0),IFERROR(VLOOKUP($B50,'Privacy Analyst Evaluation'!$A$46:$F$120,2,0),""))&amp;""</f>
        <v>For customers not using SSO, do you have documented password/passphrase reset procedures that are currently implemented in the system and/or customer support?*</v>
      </c>
      <c r="D50" s="205" t="str">
        <f>IFERROR(VLOOKUP($B50,'Institution Evaluation'!$A$55:$F$345,3,0),IFERROR(VLOOKUP($B50,'Privacy Analyst Evaluation'!$A$46:$F$120,3,0),""))&amp;""</f>
        <v>Yes</v>
      </c>
      <c r="E50" s="205" t="str">
        <f>IFERROR(VLOOKUP($B50,'Institution Evaluation'!$A$55:$F$345,4,0),IFERROR(VLOOKUP($B50,'Privacy Analyst Evaluation'!$A$46:$F$120,4,0),""))&amp;""</f>
        <v>Where Preservica's built-in local authentication is used, password reset is performed by the institution's own platform administrators through the platform's administrative screens. Managing user accounts within the tenancy, including password resets, is the institution's responsibility under Preservica's Shared Responsibility Model, published at https://website-assets.preservica.com/production/resources/Shared-Responsibility-Model-Global-v1.1.pdf. Preservica Support does not ordinarily reset passwords for platform users and will refer such requests to the institution's platform administrator.</v>
      </c>
      <c r="F50" s="205" t="str">
        <f>IFERROR(VLOOKUP($B50,'Institution Evaluation'!$A$55:$F$345,6,0),IFERROR(VLOOKUP($B50,'Privacy Analyst Evaluation'!$A$46:$F$120,6,0),""))&amp;""</f>
        <v/>
      </c>
      <c r="G50" s="206"/>
      <c r="H50" s="205" t="str">
        <f>IFERROR(IF($H49+1&gt;'(backend scoring)'!$Q$335,"",$H49+1),"")</f>
        <v/>
      </c>
      <c r="I50" s="205" t="str">
        <f>_xlfn.XLOOKUP($H50,'(backend scoring)'!$S$2:$S$333,'(backend scoring)'!$A$2:$A$333,"")</f>
        <v/>
      </c>
      <c r="J50" s="205" t="str">
        <f>IFERROR(VLOOKUP($I50,'Institution Evaluation'!$A$55:$F$345,2,0),IFERROR(VLOOKUP($I50,'Privacy Analyst Evaluation'!$A$46:$F$120,2,0),""))</f>
        <v/>
      </c>
      <c r="K50" s="205" t="str">
        <f>IFERROR(VLOOKUP($I50,'Institution Evaluation'!$A$55:$F$345,3,0),IFERROR(VLOOKUP($I50,'Privacy Analyst Evaluation'!$A$46:$F$120,3,0),""))&amp;""</f>
        <v/>
      </c>
      <c r="L50" s="205" t="str">
        <f>IFERROR(VLOOKUP($I50,'Institution Evaluation'!$A$55:$F$345,4,0),IFERROR(VLOOKUP($I50,'Privacy Analyst Evaluation'!$A$46:$F$120,4,0),""))&amp;""</f>
        <v/>
      </c>
      <c r="M50" s="205" t="str">
        <f>IFERROR(VLOOKUP($I50,'Institution Evaluation'!$A$55:$F$345,6,0),IFERROR(VLOOKUP($I50,'Privacy Analyst Evaluation'!$A$46:$F$120,6,0),""))&amp;""</f>
        <v/>
      </c>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row>
    <row r="51" spans="1:338" ht="60" x14ac:dyDescent="0.3">
      <c r="A51" s="205">
        <f>IFERROR(IF($A50+1&gt;'(backend scoring)'!$T$335,"",$A50+1),"")</f>
        <v>27</v>
      </c>
      <c r="B51" s="205" t="str">
        <f>_xlfn.XLOOKUP($A51,'(backend scoring)'!$V$2:$V$333,'(backend scoring)'!$A$2:$A$333,"")</f>
        <v>AAAI-06</v>
      </c>
      <c r="C51" s="205" t="str">
        <f>IFERROR(VLOOKUP($B51,'Institution Evaluation'!$A$55:$F$345,2,0),IFERROR(VLOOKUP($B51,'Privacy Analyst Evaluation'!$A$46:$F$120,2,0),""))&amp;""</f>
        <v>Does your organization participate in InCommon or another eduGAIN-affiliated trust federation?*</v>
      </c>
      <c r="D51" s="205" t="str">
        <f>IFERROR(VLOOKUP($B51,'Institution Evaluation'!$A$55:$F$345,3,0),IFERROR(VLOOKUP($B51,'Privacy Analyst Evaluation'!$A$46:$F$120,3,0),""))&amp;""</f>
        <v>No</v>
      </c>
      <c r="E51" s="205" t="str">
        <f>IFERROR(VLOOKUP($B51,'Institution Evaluation'!$A$55:$F$345,4,0),IFERROR(VLOOKUP($B51,'Privacy Analyst Evaluation'!$A$46:$F$120,4,0),""))&amp;""</f>
        <v>No plans at this time.</v>
      </c>
      <c r="F51" s="205" t="str">
        <f>IFERROR(VLOOKUP($B51,'Institution Evaluation'!$A$55:$F$345,6,0),IFERROR(VLOOKUP($B51,'Privacy Analyst Evaluation'!$A$46:$F$120,6,0),""))&amp;""</f>
        <v/>
      </c>
      <c r="G51" s="206"/>
      <c r="H51" s="205" t="str">
        <f>IFERROR(IF($H50+1&gt;'(backend scoring)'!$Q$335,"",$H50+1),"")</f>
        <v/>
      </c>
      <c r="I51" s="205" t="str">
        <f>_xlfn.XLOOKUP($H51,'(backend scoring)'!$S$2:$S$333,'(backend scoring)'!$A$2:$A$333,"")</f>
        <v/>
      </c>
      <c r="J51" s="205" t="str">
        <f>IFERROR(VLOOKUP($I51,'Institution Evaluation'!$A$55:$F$345,2,0),IFERROR(VLOOKUP($I51,'Privacy Analyst Evaluation'!$A$46:$F$120,2,0),""))</f>
        <v/>
      </c>
      <c r="K51" s="205" t="str">
        <f>IFERROR(VLOOKUP($I51,'Institution Evaluation'!$A$55:$F$345,3,0),IFERROR(VLOOKUP($I51,'Privacy Analyst Evaluation'!$A$46:$F$120,3,0),""))&amp;""</f>
        <v/>
      </c>
      <c r="L51" s="205" t="str">
        <f>IFERROR(VLOOKUP($I51,'Institution Evaluation'!$A$55:$F$345,4,0),IFERROR(VLOOKUP($I51,'Privacy Analyst Evaluation'!$A$46:$F$120,4,0),""))&amp;""</f>
        <v/>
      </c>
      <c r="M51" s="205" t="str">
        <f>IFERROR(VLOOKUP($I51,'Institution Evaluation'!$A$55:$F$345,6,0),IFERROR(VLOOKUP($I51,'Privacy Analyst Evaluation'!$A$46:$F$120,6,0),""))&amp;""</f>
        <v/>
      </c>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row>
    <row r="52" spans="1:338" ht="285" x14ac:dyDescent="0.3">
      <c r="A52" s="205">
        <f>IFERROR(IF($A51+1&gt;'(backend scoring)'!$T$335,"",$A51+1),"")</f>
        <v>28</v>
      </c>
      <c r="B52" s="205" t="str">
        <f>_xlfn.XLOOKUP($A52,'(backend scoring)'!$V$2:$V$333,'(backend scoring)'!$A$2:$A$333,"")</f>
        <v>AAAI-07</v>
      </c>
      <c r="C52" s="205" t="str">
        <f>IFERROR(VLOOKUP($B52,'Institution Evaluation'!$A$55:$F$345,2,0),IFERROR(VLOOKUP($B52,'Privacy Analyst Evaluation'!$A$46:$F$120,2,0),""))&amp;""</f>
        <v>Are there any passwords/passphrases hard-coded into your systems or solutions?*</v>
      </c>
      <c r="D52" s="205" t="str">
        <f>IFERROR(VLOOKUP($B52,'Institution Evaluation'!$A$55:$F$345,3,0),IFERROR(VLOOKUP($B52,'Privacy Analyst Evaluation'!$A$46:$F$120,3,0),""))&amp;""</f>
        <v>No</v>
      </c>
      <c r="E52" s="205" t="str">
        <f>IFERROR(VLOOKUP($B52,'Institution Evaluation'!$A$55:$F$345,4,0),IFERROR(VLOOKUP($B52,'Privacy Analyst Evaluation'!$A$46:$F$120,4,0),""))&amp;""</f>
        <v>Preservica's Secure Development Policy prohibits hard-coding credentials in source code or in configuration files in unencrypted form. All source code is held in an approved repository, all changes are reviewed and approved by a second person before acceptance into the main branch, and all changes are additionally scanned by Static Application Security Testing tooling that checks for vulnerabilities, licensing issues and secrets.</v>
      </c>
      <c r="F52" s="205" t="str">
        <f>IFERROR(VLOOKUP($B52,'Institution Evaluation'!$A$55:$F$345,6,0),IFERROR(VLOOKUP($B52,'Privacy Analyst Evaluation'!$A$46:$F$120,6,0),""))&amp;""</f>
        <v/>
      </c>
      <c r="G52" s="206"/>
      <c r="H52" s="205" t="str">
        <f>IFERROR(IF($H51+1&gt;'(backend scoring)'!$Q$335,"",$H51+1),"")</f>
        <v/>
      </c>
      <c r="I52" s="205" t="str">
        <f>_xlfn.XLOOKUP($H52,'(backend scoring)'!$S$2:$S$333,'(backend scoring)'!$A$2:$A$333,"")</f>
        <v/>
      </c>
      <c r="J52" s="205" t="str">
        <f>IFERROR(VLOOKUP($I52,'Institution Evaluation'!$A$55:$F$345,2,0),IFERROR(VLOOKUP($I52,'Privacy Analyst Evaluation'!$A$46:$F$120,2,0),""))</f>
        <v/>
      </c>
      <c r="K52" s="205" t="str">
        <f>IFERROR(VLOOKUP($I52,'Institution Evaluation'!$A$55:$F$345,3,0),IFERROR(VLOOKUP($I52,'Privacy Analyst Evaluation'!$A$46:$F$120,3,0),""))&amp;""</f>
        <v/>
      </c>
      <c r="L52" s="205" t="str">
        <f>IFERROR(VLOOKUP($I52,'Institution Evaluation'!$A$55:$F$345,4,0),IFERROR(VLOOKUP($I52,'Privacy Analyst Evaluation'!$A$46:$F$120,4,0),""))&amp;""</f>
        <v/>
      </c>
      <c r="M52" s="205" t="str">
        <f>IFERROR(VLOOKUP($I52,'Institution Evaluation'!$A$55:$F$345,6,0),IFERROR(VLOOKUP($I52,'Privacy Analyst Evaluation'!$A$46:$F$120,6,0),""))&amp;""</f>
        <v/>
      </c>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row>
    <row r="53" spans="1:338" ht="30" x14ac:dyDescent="0.3">
      <c r="A53" s="205">
        <f>IFERROR(IF($A52+1&gt;'(backend scoring)'!$T$335,"",$A52+1),"")</f>
        <v>29</v>
      </c>
      <c r="B53" s="205" t="str">
        <f>_xlfn.XLOOKUP($A53,'(backend scoring)'!$V$2:$V$333,'(backend scoring)'!$A$2:$A$333,"")</f>
        <v>AAAI-08</v>
      </c>
      <c r="C53" s="205" t="str">
        <f>IFERROR(VLOOKUP($B53,'Institution Evaluation'!$A$55:$F$345,2,0),IFERROR(VLOOKUP($B53,'Privacy Analyst Evaluation'!$A$46:$F$120,2,0),""))&amp;""</f>
        <v>Are you storing any passwords in plaintext?*</v>
      </c>
      <c r="D53" s="205" t="str">
        <f>IFERROR(VLOOKUP($B53,'Institution Evaluation'!$A$55:$F$345,3,0),IFERROR(VLOOKUP($B53,'Privacy Analyst Evaluation'!$A$46:$F$120,3,0),""))&amp;""</f>
        <v>No</v>
      </c>
      <c r="E53" s="205" t="str">
        <f>IFERROR(VLOOKUP($B53,'Institution Evaluation'!$A$55:$F$345,4,0),IFERROR(VLOOKUP($B53,'Privacy Analyst Evaluation'!$A$46:$F$120,4,0),""))&amp;""</f>
        <v/>
      </c>
      <c r="F53" s="205" t="str">
        <f>IFERROR(VLOOKUP($B53,'Institution Evaluation'!$A$55:$F$345,6,0),IFERROR(VLOOKUP($B53,'Privacy Analyst Evaluation'!$A$46:$F$120,6,0),""))&amp;""</f>
        <v/>
      </c>
      <c r="G53" s="206"/>
      <c r="H53" s="205" t="str">
        <f>IFERROR(IF($H52+1&gt;'(backend scoring)'!$Q$335,"",$H52+1),"")</f>
        <v/>
      </c>
      <c r="I53" s="205" t="str">
        <f>_xlfn.XLOOKUP($H53,'(backend scoring)'!$S$2:$S$333,'(backend scoring)'!$A$2:$A$333,"")</f>
        <v/>
      </c>
      <c r="J53" s="205" t="str">
        <f>IFERROR(VLOOKUP($I53,'Institution Evaluation'!$A$55:$F$345,2,0),IFERROR(VLOOKUP($I53,'Privacy Analyst Evaluation'!$A$46:$F$120,2,0),""))</f>
        <v/>
      </c>
      <c r="K53" s="205" t="str">
        <f>IFERROR(VLOOKUP($I53,'Institution Evaluation'!$A$55:$F$345,3,0),IFERROR(VLOOKUP($I53,'Privacy Analyst Evaluation'!$A$46:$F$120,3,0),""))&amp;""</f>
        <v/>
      </c>
      <c r="L53" s="205" t="str">
        <f>IFERROR(VLOOKUP($I53,'Institution Evaluation'!$A$55:$F$345,4,0),IFERROR(VLOOKUP($I53,'Privacy Analyst Evaluation'!$A$46:$F$120,4,0),""))&amp;""</f>
        <v/>
      </c>
      <c r="M53" s="205" t="str">
        <f>IFERROR(VLOOKUP($I53,'Institution Evaluation'!$A$55:$F$345,6,0),IFERROR(VLOOKUP($I53,'Privacy Analyst Evaluation'!$A$46:$F$120,6,0),""))&amp;""</f>
        <v/>
      </c>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row>
    <row r="54" spans="1:338" ht="409.5" x14ac:dyDescent="0.3">
      <c r="A54" s="205">
        <f>IFERROR(IF($A53+1&gt;'(backend scoring)'!$T$335,"",$A53+1),"")</f>
        <v>30</v>
      </c>
      <c r="B54" s="205" t="str">
        <f>_xlfn.XLOOKUP($A54,'(backend scoring)'!$V$2:$V$333,'(backend scoring)'!$A$2:$A$333,"")</f>
        <v>AAAI-09</v>
      </c>
      <c r="C54" s="205" t="str">
        <f>IFERROR(VLOOKUP($B54,'Institution Evaluation'!$A$55:$F$345,2,0),IFERROR(VLOOKUP($B54,'Privacy Analyst Evaluation'!$A$46:$F$120,2,0),""))&amp;""</f>
        <v>Are audit logs available that include AT LEAST all of the following: login, logout, actions performed, and source IP address?*</v>
      </c>
      <c r="D54" s="205" t="str">
        <f>IFERROR(VLOOKUP($B54,'Institution Evaluation'!$A$55:$F$345,3,0),IFERROR(VLOOKUP($B54,'Privacy Analyst Evaluation'!$A$46:$F$120,3,0),""))&amp;""</f>
        <v>No</v>
      </c>
      <c r="E54" s="205" t="str">
        <f>IFERROR(VLOOKUP($B54,'Institution Evaluation'!$A$55:$F$345,4,0),IFERROR(VLOOKUP($B54,'Privacy Analyst Evaluation'!$A$46:$F$120,4,0),""))&amp;""</f>
        <v>Preservica's reporting module provides audit records of user login and logout events and of user activity within the institution's tenancy. These records are not editable by platform users and access to them is restricted by role. Institutions can also retrieve these records through the platform's documented REST APIs for ingestion into their own SIEM or log-aggregation platform. Source IP address is not currently recorded in tenant login records; Preservica is reviewing the requirements and privacy implications of enabling IP address logging. Separately, Preservica collects, collates and monitors the logs of the underlying SaaS infrastructure, which are retained for a minimum of 30 days and feed 24/7/365 security monitoring.</v>
      </c>
      <c r="F54" s="205" t="str">
        <f>IFERROR(VLOOKUP($B54,'Institution Evaluation'!$A$55:$F$345,6,0),IFERROR(VLOOKUP($B54,'Privacy Analyst Evaluation'!$A$46:$F$120,6,0),""))&amp;""</f>
        <v/>
      </c>
      <c r="G54" s="206"/>
      <c r="H54" s="205" t="str">
        <f>IFERROR(IF($H53+1&gt;'(backend scoring)'!$Q$335,"",$H53+1),"")</f>
        <v/>
      </c>
      <c r="I54" s="205" t="str">
        <f>_xlfn.XLOOKUP($H54,'(backend scoring)'!$S$2:$S$333,'(backend scoring)'!$A$2:$A$333,"")</f>
        <v/>
      </c>
      <c r="J54" s="205" t="str">
        <f>IFERROR(VLOOKUP($I54,'Institution Evaluation'!$A$55:$F$345,2,0),IFERROR(VLOOKUP($I54,'Privacy Analyst Evaluation'!$A$46:$F$120,2,0),""))</f>
        <v/>
      </c>
      <c r="K54" s="205" t="str">
        <f>IFERROR(VLOOKUP($I54,'Institution Evaluation'!$A$55:$F$345,3,0),IFERROR(VLOOKUP($I54,'Privacy Analyst Evaluation'!$A$46:$F$120,3,0),""))&amp;""</f>
        <v/>
      </c>
      <c r="L54" s="205" t="str">
        <f>IFERROR(VLOOKUP($I54,'Institution Evaluation'!$A$55:$F$345,4,0),IFERROR(VLOOKUP($I54,'Privacy Analyst Evaluation'!$A$46:$F$120,4,0),""))&amp;""</f>
        <v/>
      </c>
      <c r="M54" s="205" t="str">
        <f>IFERROR(VLOOKUP($I54,'Institution Evaluation'!$A$55:$F$345,6,0),IFERROR(VLOOKUP($I54,'Privacy Analyst Evaluation'!$A$46:$F$120,6,0),""))&amp;""</f>
        <v/>
      </c>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row>
    <row r="55" spans="1:338" ht="409.5" x14ac:dyDescent="0.3">
      <c r="A55" s="205">
        <f>IFERROR(IF($A54+1&gt;'(backend scoring)'!$T$335,"",$A54+1),"")</f>
        <v>31</v>
      </c>
      <c r="B55" s="205" t="str">
        <f>_xlfn.XLOOKUP($A55,'(backend scoring)'!$V$2:$V$333,'(backend scoring)'!$A$2:$A$333,"")</f>
        <v>AAAI-11</v>
      </c>
      <c r="C55" s="205" t="str">
        <f>IFERROR(VLOOKUP($B55,'Institution Evaluation'!$A$55:$F$345,2,0),IFERROR(VLOOKUP($B55,'Privacy Analyst Evaluation'!$A$46:$F$120,2,0),""))&amp;""</f>
        <v>Can you provide the institution documentation regarding the retention period for those logs, how logs are protected, and whether they are accessible to the customer (and if so, how)?*</v>
      </c>
      <c r="D55" s="205" t="str">
        <f>IFERROR(VLOOKUP($B55,'Institution Evaluation'!$A$55:$F$345,3,0),IFERROR(VLOOKUP($B55,'Privacy Analyst Evaluation'!$A$46:$F$120,3,0),""))&amp;""</f>
        <v>Yes</v>
      </c>
      <c r="E55" s="205" t="str">
        <f>IFERROR(VLOOKUP($B55,'Institution Evaluation'!$A$55:$F$345,4,0),IFERROR(VLOOKUP($B55,'Privacy Analyst Evaluation'!$A$46:$F$120,4,0),""))&amp;""</f>
        <v>Audit records within the institution's tenancy are available to the institution through the platform's reports and administrative screens, and can also be retrieved programmatically through the platform's documented REST APIs. These records are not editable by platform users and access to them is restricted by role. Monitoring those records against the institution's own policies, and performing access reviews within the tenancy, is the institution's responsibility. Preservica collects, protects and monitors the logs of the underlying SaaS infrastructure and retains them for a minimum of 30 days. The responsibility split is set out in Preservica's Shared Responsibility Model (https://website-assets.preservica.com/production/resources/Shared-Responsibility-Model-Global-v1.1.pdf) and further compliance documentation is available at https://preservica.com/trust-center</v>
      </c>
      <c r="F55" s="205" t="str">
        <f>IFERROR(VLOOKUP($B55,'Institution Evaluation'!$A$55:$F$345,6,0),IFERROR(VLOOKUP($B55,'Privacy Analyst Evaluation'!$A$46:$F$120,6,0),""))&amp;""</f>
        <v/>
      </c>
      <c r="G55" s="206"/>
      <c r="H55" s="205" t="str">
        <f>IFERROR(IF($H54+1&gt;'(backend scoring)'!$Q$335,"",$H54+1),"")</f>
        <v/>
      </c>
      <c r="I55" s="205" t="str">
        <f>_xlfn.XLOOKUP($H55,'(backend scoring)'!$S$2:$S$333,'(backend scoring)'!$A$2:$A$333,"")</f>
        <v/>
      </c>
      <c r="J55" s="205" t="str">
        <f>IFERROR(VLOOKUP($I55,'Institution Evaluation'!$A$55:$F$345,2,0),IFERROR(VLOOKUP($I55,'Privacy Analyst Evaluation'!$A$46:$F$120,2,0),""))</f>
        <v/>
      </c>
      <c r="K55" s="205" t="str">
        <f>IFERROR(VLOOKUP($I55,'Institution Evaluation'!$A$55:$F$345,3,0),IFERROR(VLOOKUP($I55,'Privacy Analyst Evaluation'!$A$46:$F$120,3,0),""))&amp;""</f>
        <v/>
      </c>
      <c r="L55" s="205" t="str">
        <f>IFERROR(VLOOKUP($I55,'Institution Evaluation'!$A$55:$F$345,4,0),IFERROR(VLOOKUP($I55,'Privacy Analyst Evaluation'!$A$46:$F$120,4,0),""))&amp;""</f>
        <v/>
      </c>
      <c r="M55" s="205" t="str">
        <f>IFERROR(VLOOKUP($I55,'Institution Evaluation'!$A$55:$F$345,6,0),IFERROR(VLOOKUP($I55,'Privacy Analyst Evaluation'!$A$46:$F$120,6,0),""))&amp;""</f>
        <v/>
      </c>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row>
    <row r="56" spans="1:338" ht="300" x14ac:dyDescent="0.3">
      <c r="A56" s="205">
        <f>IFERROR(IF($A55+1&gt;'(backend scoring)'!$T$335,"",$A55+1),"")</f>
        <v>32</v>
      </c>
      <c r="B56" s="205" t="str">
        <f>_xlfn.XLOOKUP($A56,'(backend scoring)'!$V$2:$V$333,'(backend scoring)'!$A$2:$A$333,"")</f>
        <v>CHNG-01</v>
      </c>
      <c r="C56" s="205" t="str">
        <f>IFERROR(VLOOKUP($B56,'Institution Evaluation'!$A$55:$F$345,2,0),IFERROR(VLOOKUP($B56,'Privacy Analyst Evaluation'!$A$46:$F$120,2,0),""))&amp;""</f>
        <v>Will the institution be notified of major changes to your environment that could impact the institution's security posture?*</v>
      </c>
      <c r="D56" s="205" t="str">
        <f>IFERROR(VLOOKUP($B56,'Institution Evaluation'!$A$55:$F$345,3,0),IFERROR(VLOOKUP($B56,'Privacy Analyst Evaluation'!$A$46:$F$120,3,0),""))&amp;""</f>
        <v>Yes</v>
      </c>
      <c r="E56" s="205" t="str">
        <f>IFERROR(VLOOKUP($B56,'Institution Evaluation'!$A$55:$F$345,4,0),IFERROR(VLOOKUP($B56,'Privacy Analyst Evaluation'!$A$46:$F$120,4,0),""))&amp;""</f>
        <v>Yes. Significant or major changes to Preservica's product environment that could affect a customer's security posture are announced in advance via Preservica's Community Hub. Releases that impact customers are additionally communicated via email and/or the customer portal. Where action is required on the customer's part in order to mitigate a vulnerability, Preservica notifies the customer directly.</v>
      </c>
      <c r="F56" s="205" t="str">
        <f>IFERROR(VLOOKUP($B56,'Institution Evaluation'!$A$55:$F$345,6,0),IFERROR(VLOOKUP($B56,'Privacy Analyst Evaluation'!$A$46:$F$120,6,0),""))&amp;""</f>
        <v/>
      </c>
      <c r="G56" s="206"/>
      <c r="H56" s="205" t="str">
        <f>IFERROR(IF($H55+1&gt;'(backend scoring)'!$Q$335,"",$H55+1),"")</f>
        <v/>
      </c>
      <c r="I56" s="205" t="str">
        <f>_xlfn.XLOOKUP($H56,'(backend scoring)'!$S$2:$S$333,'(backend scoring)'!$A$2:$A$333,"")</f>
        <v/>
      </c>
      <c r="J56" s="205" t="str">
        <f>IFERROR(VLOOKUP($I56,'Institution Evaluation'!$A$55:$F$345,2,0),IFERROR(VLOOKUP($I56,'Privacy Analyst Evaluation'!$A$46:$F$120,2,0),""))</f>
        <v/>
      </c>
      <c r="K56" s="205" t="str">
        <f>IFERROR(VLOOKUP($I56,'Institution Evaluation'!$A$55:$F$345,3,0),IFERROR(VLOOKUP($I56,'Privacy Analyst Evaluation'!$A$46:$F$120,3,0),""))&amp;""</f>
        <v/>
      </c>
      <c r="L56" s="205" t="str">
        <f>IFERROR(VLOOKUP($I56,'Institution Evaluation'!$A$55:$F$345,4,0),IFERROR(VLOOKUP($I56,'Privacy Analyst Evaluation'!$A$46:$F$120,4,0),""))&amp;""</f>
        <v/>
      </c>
      <c r="M56" s="205" t="str">
        <f>IFERROR(VLOOKUP($I56,'Institution Evaluation'!$A$55:$F$345,6,0),IFERROR(VLOOKUP($I56,'Privacy Analyst Evaluation'!$A$46:$F$120,6,0),""))&amp;""</f>
        <v/>
      </c>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row>
    <row r="57" spans="1:338" ht="75" x14ac:dyDescent="0.3">
      <c r="A57" s="205">
        <f>IFERROR(IF($A56+1&gt;'(backend scoring)'!$T$335,"",$A56+1),"")</f>
        <v>33</v>
      </c>
      <c r="B57" s="205" t="str">
        <f>_xlfn.XLOOKUP($A57,'(backend scoring)'!$V$2:$V$333,'(backend scoring)'!$A$2:$A$333,"")</f>
        <v>CHNG-02</v>
      </c>
      <c r="C57" s="205" t="str">
        <f>IFERROR(VLOOKUP($B57,'Institution Evaluation'!$A$55:$F$345,2,0),IFERROR(VLOOKUP($B57,'Privacy Analyst Evaluation'!$A$46:$F$120,2,0),""))&amp;""</f>
        <v>Does the system support client customizations from one release to another?*</v>
      </c>
      <c r="D57" s="205" t="str">
        <f>IFERROR(VLOOKUP($B57,'Institution Evaluation'!$A$55:$F$345,3,0),IFERROR(VLOOKUP($B57,'Privacy Analyst Evaluation'!$A$46:$F$120,3,0),""))&amp;""</f>
        <v>Yes</v>
      </c>
      <c r="E57" s="205" t="str">
        <f>IFERROR(VLOOKUP($B57,'Institution Evaluation'!$A$55:$F$345,4,0),IFERROR(VLOOKUP($B57,'Privacy Analyst Evaluation'!$A$46:$F$120,4,0),""))&amp;""</f>
        <v>Configuration changes made to the SaaS application by the customer are maintained from release to release.</v>
      </c>
      <c r="F57" s="205" t="str">
        <f>IFERROR(VLOOKUP($B57,'Institution Evaluation'!$A$55:$F$345,6,0),IFERROR(VLOOKUP($B57,'Privacy Analyst Evaluation'!$A$46:$F$120,6,0),""))&amp;""</f>
        <v/>
      </c>
      <c r="G57" s="206"/>
      <c r="H57" s="205" t="str">
        <f>IFERROR(IF($H56+1&gt;'(backend scoring)'!$Q$335,"",$H56+1),"")</f>
        <v/>
      </c>
      <c r="I57" s="205" t="str">
        <f>_xlfn.XLOOKUP($H57,'(backend scoring)'!$S$2:$S$333,'(backend scoring)'!$A$2:$A$333,"")</f>
        <v/>
      </c>
      <c r="J57" s="205" t="str">
        <f>IFERROR(VLOOKUP($I57,'Institution Evaluation'!$A$55:$F$345,2,0),IFERROR(VLOOKUP($I57,'Privacy Analyst Evaluation'!$A$46:$F$120,2,0),""))</f>
        <v/>
      </c>
      <c r="K57" s="205" t="str">
        <f>IFERROR(VLOOKUP($I57,'Institution Evaluation'!$A$55:$F$345,3,0),IFERROR(VLOOKUP($I57,'Privacy Analyst Evaluation'!$A$46:$F$120,3,0),""))&amp;""</f>
        <v/>
      </c>
      <c r="L57" s="205" t="str">
        <f>IFERROR(VLOOKUP($I57,'Institution Evaluation'!$A$55:$F$345,4,0),IFERROR(VLOOKUP($I57,'Privacy Analyst Evaluation'!$A$46:$F$120,4,0),""))&amp;""</f>
        <v/>
      </c>
      <c r="M57" s="205" t="str">
        <f>IFERROR(VLOOKUP($I57,'Institution Evaluation'!$A$55:$F$345,6,0),IFERROR(VLOOKUP($I57,'Privacy Analyst Evaluation'!$A$46:$F$120,6,0),""))&amp;""</f>
        <v/>
      </c>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row>
    <row r="58" spans="1:338" ht="409.5" x14ac:dyDescent="0.3">
      <c r="A58" s="205">
        <f>IFERROR(IF($A57+1&gt;'(backend scoring)'!$T$335,"",$A57+1),"")</f>
        <v>34</v>
      </c>
      <c r="B58" s="205" t="str">
        <f>_xlfn.XLOOKUP($A58,'(backend scoring)'!$V$2:$V$333,'(backend scoring)'!$A$2:$A$333,"")</f>
        <v>CHNG-03</v>
      </c>
      <c r="C58" s="205" t="str">
        <f>IFERROR(VLOOKUP($B58,'Institution Evaluation'!$A$55:$F$345,2,0),IFERROR(VLOOKUP($B58,'Privacy Analyst Evaluation'!$A$46:$F$120,2,0),""))&amp;""</f>
        <v>Do you have an implemented system configuration management process (e.g., secure "gold" images, etc.)?*</v>
      </c>
      <c r="D58" s="205" t="str">
        <f>IFERROR(VLOOKUP($B58,'Institution Evaluation'!$A$55:$F$345,3,0),IFERROR(VLOOKUP($B58,'Privacy Analyst Evaluation'!$A$46:$F$120,3,0),""))&amp;""</f>
        <v>Yes</v>
      </c>
      <c r="E58" s="205" t="str">
        <f>IFERROR(VLOOKUP($B58,'Institution Evaluation'!$A$55:$F$345,4,0),IFERROR(VLOOKUP($B58,'Privacy Analyst Evaluation'!$A$46:$F$120,4,0),""))&amp;""</f>
        <v>Yes. Preservica uses Infrastructure as Code for the building, provisioning and management of all infrastructure components deployed into production environments, including compute resources, databases, storage containers and network objects, and deployment and updating of the application to production environments is automated to reduce the risk of human error. Standardised system hardening and configuration baselines are applied under documented procedures, and changes to them are managed through Preservica's change management process. Software and cloud service inventories are maintained and reviewed, and configuration management is within the scope of Preservica's ISO/IEC 27001:2022 certification and its SOC 2 Type II audit.</v>
      </c>
      <c r="F58" s="205" t="str">
        <f>IFERROR(VLOOKUP($B58,'Institution Evaluation'!$A$55:$F$345,6,0),IFERROR(VLOOKUP($B58,'Privacy Analyst Evaluation'!$A$46:$F$120,6,0),""))&amp;""</f>
        <v/>
      </c>
      <c r="G58" s="206"/>
      <c r="H58" s="205" t="str">
        <f>IFERROR(IF($H57+1&gt;'(backend scoring)'!$Q$335,"",$H57+1),"")</f>
        <v/>
      </c>
      <c r="I58" s="205" t="str">
        <f>_xlfn.XLOOKUP($H58,'(backend scoring)'!$S$2:$S$333,'(backend scoring)'!$A$2:$A$333,"")</f>
        <v/>
      </c>
      <c r="J58" s="205" t="str">
        <f>IFERROR(VLOOKUP($I58,'Institution Evaluation'!$A$55:$F$345,2,0),IFERROR(VLOOKUP($I58,'Privacy Analyst Evaluation'!$A$46:$F$120,2,0),""))</f>
        <v/>
      </c>
      <c r="K58" s="205" t="str">
        <f>IFERROR(VLOOKUP($I58,'Institution Evaluation'!$A$55:$F$345,3,0),IFERROR(VLOOKUP($I58,'Privacy Analyst Evaluation'!$A$46:$F$120,3,0),""))&amp;""</f>
        <v/>
      </c>
      <c r="L58" s="205" t="str">
        <f>IFERROR(VLOOKUP($I58,'Institution Evaluation'!$A$55:$F$345,4,0),IFERROR(VLOOKUP($I58,'Privacy Analyst Evaluation'!$A$46:$F$120,4,0),""))&amp;""</f>
        <v/>
      </c>
      <c r="M58" s="205" t="str">
        <f>IFERROR(VLOOKUP($I58,'Institution Evaluation'!$A$55:$F$345,6,0),IFERROR(VLOOKUP($I58,'Privacy Analyst Evaluation'!$A$46:$F$120,6,0),""))&amp;""</f>
        <v/>
      </c>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row>
    <row r="59" spans="1:338" ht="409.5" x14ac:dyDescent="0.3">
      <c r="A59" s="205">
        <f>IFERROR(IF($A58+1&gt;'(backend scoring)'!$T$335,"",$A58+1),"")</f>
        <v>35</v>
      </c>
      <c r="B59" s="205" t="str">
        <f>_xlfn.XLOOKUP($A59,'(backend scoring)'!$V$2:$V$333,'(backend scoring)'!$A$2:$A$333,"")</f>
        <v>DATA-01</v>
      </c>
      <c r="C59" s="205" t="str">
        <f>IFERROR(VLOOKUP($B59,'Institution Evaluation'!$A$55:$F$345,2,0),IFERROR(VLOOKUP($B59,'Privacy Analyst Evaluation'!$A$46:$F$120,2,0),""))&amp;""</f>
        <v>Will the institution's data be stored on any devices (database servers, file servers, SAN, NAS, etc.) configured with non-RFC 1918/4193 (i.e., publicly routable) IP addresses?*</v>
      </c>
      <c r="D59" s="205" t="str">
        <f>IFERROR(VLOOKUP($B59,'Institution Evaluation'!$A$55:$F$345,3,0),IFERROR(VLOOKUP($B59,'Privacy Analyst Evaluation'!$A$46:$F$120,3,0),""))&amp;""</f>
        <v>No</v>
      </c>
      <c r="E59" s="205" t="str">
        <f>IFERROR(VLOOKUP($B59,'Institution Evaluation'!$A$55:$F$345,4,0),IFERROR(VLOOKUP($B59,'Privacy Analyst Evaluation'!$A$46:$F$120,4,0),""))&amp;""</f>
        <v>Institution data is held in cloud storage provided by Preservica's infrastructure provider (AWS or Microsoft Azure, per the institution's Order Form) in customer-specific storage containers. Application and database components run within isolated virtual private networks; ingress from public to private networks is restricted to required services on a deny-by-default basis, production and non-production networks are logically separated, and communication between environments is prohibited by default and permitted only where strictly necessary and explicitly approved. Institutions on Enterprise Private Cloud or above may additionally elect IP whitelisting, restricting access to their own nominated IP addresses together with Preservica's offices and Preservica's infrastructure monitoring platform.</v>
      </c>
      <c r="F59" s="205" t="str">
        <f>IFERROR(VLOOKUP($B59,'Institution Evaluation'!$A$55:$F$345,6,0),IFERROR(VLOOKUP($B59,'Privacy Analyst Evaluation'!$A$46:$F$120,6,0),""))&amp;""</f>
        <v/>
      </c>
      <c r="G59" s="206"/>
      <c r="H59" s="205" t="str">
        <f>IFERROR(IF($H58+1&gt;'(backend scoring)'!$Q$335,"",$H58+1),"")</f>
        <v/>
      </c>
      <c r="I59" s="205" t="str">
        <f>_xlfn.XLOOKUP($H59,'(backend scoring)'!$S$2:$S$333,'(backend scoring)'!$A$2:$A$333,"")</f>
        <v/>
      </c>
      <c r="J59" s="205" t="str">
        <f>IFERROR(VLOOKUP($I59,'Institution Evaluation'!$A$55:$F$345,2,0),IFERROR(VLOOKUP($I59,'Privacy Analyst Evaluation'!$A$46:$F$120,2,0),""))</f>
        <v/>
      </c>
      <c r="K59" s="205" t="str">
        <f>IFERROR(VLOOKUP($I59,'Institution Evaluation'!$A$55:$F$345,3,0),IFERROR(VLOOKUP($I59,'Privacy Analyst Evaluation'!$A$46:$F$120,3,0),""))&amp;""</f>
        <v/>
      </c>
      <c r="L59" s="205" t="str">
        <f>IFERROR(VLOOKUP($I59,'Institution Evaluation'!$A$55:$F$345,4,0),IFERROR(VLOOKUP($I59,'Privacy Analyst Evaluation'!$A$46:$F$120,4,0),""))&amp;""</f>
        <v/>
      </c>
      <c r="M59" s="205" t="str">
        <f>IFERROR(VLOOKUP($I59,'Institution Evaluation'!$A$55:$F$345,6,0),IFERROR(VLOOKUP($I59,'Privacy Analyst Evaluation'!$A$46:$F$120,6,0),""))&amp;""</f>
        <v/>
      </c>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row>
    <row r="60" spans="1:338" ht="375" x14ac:dyDescent="0.3">
      <c r="A60" s="205">
        <f>IFERROR(IF($A59+1&gt;'(backend scoring)'!$T$335,"",$A59+1),"")</f>
        <v>36</v>
      </c>
      <c r="B60" s="205" t="str">
        <f>_xlfn.XLOOKUP($A60,'(backend scoring)'!$V$2:$V$333,'(backend scoring)'!$A$2:$A$333,"")</f>
        <v>DATA-02</v>
      </c>
      <c r="C60" s="205" t="str">
        <f>IFERROR(VLOOKUP($B60,'Institution Evaluation'!$A$55:$F$345,2,0),IFERROR(VLOOKUP($B60,'Privacy Analyst Evaluation'!$A$46:$F$120,2,0),""))&amp;""</f>
        <v>Is the transport of sensitive data encrypted using security protocols/algorithms (e.g., system-to-client)?*</v>
      </c>
      <c r="D60" s="205" t="str">
        <f>IFERROR(VLOOKUP($B60,'Institution Evaluation'!$A$55:$F$345,3,0),IFERROR(VLOOKUP($B60,'Privacy Analyst Evaluation'!$A$46:$F$120,3,0),""))&amp;""</f>
        <v>Yes</v>
      </c>
      <c r="E60" s="205" t="str">
        <f>IFERROR(VLOOKUP($B60,'Institution Evaluation'!$A$55:$F$345,4,0),IFERROR(VLOOKUP($B60,'Privacy Analyst Evaluation'!$A$46:$F$120,4,0),""))&amp;""</f>
        <v>All data in transit, including content files and metadata, is encrypted using TLS 1.2 or TLS 1.3 only; all earlier TLS and SSL versions are disabled and unsupported. Only modern authenticated cipher suites are enabled which, at the time of response, include; AES-GCM and ChaCha20-Poly1305 with ECDHE key exchange — and the enabled cipher set is reviewed regularly against industry best practice. HTTP Strict Transport Security is applied to customer applications, and end-to-end encryption is used for critical services such as authentication.</v>
      </c>
      <c r="F60" s="205" t="str">
        <f>IFERROR(VLOOKUP($B60,'Institution Evaluation'!$A$55:$F$345,6,0),IFERROR(VLOOKUP($B60,'Privacy Analyst Evaluation'!$A$46:$F$120,6,0),""))&amp;""</f>
        <v/>
      </c>
      <c r="G60" s="206"/>
      <c r="H60" s="205" t="str">
        <f>IFERROR(IF($H59+1&gt;'(backend scoring)'!$Q$335,"",$H59+1),"")</f>
        <v/>
      </c>
      <c r="I60" s="205" t="str">
        <f>_xlfn.XLOOKUP($H60,'(backend scoring)'!$S$2:$S$333,'(backend scoring)'!$A$2:$A$333,"")</f>
        <v/>
      </c>
      <c r="J60" s="205" t="str">
        <f>IFERROR(VLOOKUP($I60,'Institution Evaluation'!$A$55:$F$345,2,0),IFERROR(VLOOKUP($I60,'Privacy Analyst Evaluation'!$A$46:$F$120,2,0),""))</f>
        <v/>
      </c>
      <c r="K60" s="205" t="str">
        <f>IFERROR(VLOOKUP($I60,'Institution Evaluation'!$A$55:$F$345,3,0),IFERROR(VLOOKUP($I60,'Privacy Analyst Evaluation'!$A$46:$F$120,3,0),""))&amp;""</f>
        <v/>
      </c>
      <c r="L60" s="205" t="str">
        <f>IFERROR(VLOOKUP($I60,'Institution Evaluation'!$A$55:$F$345,4,0),IFERROR(VLOOKUP($I60,'Privacy Analyst Evaluation'!$A$46:$F$120,4,0),""))&amp;""</f>
        <v/>
      </c>
      <c r="M60" s="205" t="str">
        <f>IFERROR(VLOOKUP($I60,'Institution Evaluation'!$A$55:$F$345,6,0),IFERROR(VLOOKUP($I60,'Privacy Analyst Evaluation'!$A$46:$F$120,6,0),""))&amp;""</f>
        <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row>
    <row r="61" spans="1:338" ht="195" x14ac:dyDescent="0.3">
      <c r="A61" s="205">
        <f>IFERROR(IF($A60+1&gt;'(backend scoring)'!$T$335,"",$A60+1),"")</f>
        <v>37</v>
      </c>
      <c r="B61" s="205" t="str">
        <f>_xlfn.XLOOKUP($A61,'(backend scoring)'!$V$2:$V$333,'(backend scoring)'!$A$2:$A$333,"")</f>
        <v>DATA-03</v>
      </c>
      <c r="C61" s="205" t="str">
        <f>IFERROR(VLOOKUP($B61,'Institution Evaluation'!$A$55:$F$345,2,0),IFERROR(VLOOKUP($B61,'Privacy Analyst Evaluation'!$A$46:$F$120,2,0),""))&amp;""</f>
        <v>Is the storage of sensitive data encrypted using security protocols/algorithms (e.g., disk encryption, at-rest, files, and within a running database)?*</v>
      </c>
      <c r="D61" s="205" t="str">
        <f>IFERROR(VLOOKUP($B61,'Institution Evaluation'!$A$55:$F$345,3,0),IFERROR(VLOOKUP($B61,'Privacy Analyst Evaluation'!$A$46:$F$120,3,0),""))&amp;""</f>
        <v>Yes</v>
      </c>
      <c r="E61" s="205" t="str">
        <f>IFERROR(VLOOKUP($B61,'Institution Evaluation'!$A$55:$F$345,4,0),IFERROR(VLOOKUP($B61,'Privacy Analyst Evaluation'!$A$46:$F$120,4,0),""))&amp;""</f>
        <v>Institution data at rest is encrypted using AES-256, with keys managed through the key management services of the underlying cloud provider. This applies to the database platform and its backups and snapshots, block storage volumes and snapshots, object storage, and archival storage tiers.</v>
      </c>
      <c r="F61" s="205" t="str">
        <f>IFERROR(VLOOKUP($B61,'Institution Evaluation'!$A$55:$F$345,6,0),IFERROR(VLOOKUP($B61,'Privacy Analyst Evaluation'!$A$46:$F$120,6,0),""))&amp;""</f>
        <v/>
      </c>
      <c r="G61" s="206"/>
      <c r="H61" s="205" t="str">
        <f>IFERROR(IF($H60+1&gt;'(backend scoring)'!$Q$335,"",$H60+1),"")</f>
        <v/>
      </c>
      <c r="I61" s="205" t="str">
        <f>_xlfn.XLOOKUP($H61,'(backend scoring)'!$S$2:$S$333,'(backend scoring)'!$A$2:$A$333,"")</f>
        <v/>
      </c>
      <c r="J61" s="205" t="str">
        <f>IFERROR(VLOOKUP($I61,'Institution Evaluation'!$A$55:$F$345,2,0),IFERROR(VLOOKUP($I61,'Privacy Analyst Evaluation'!$A$46:$F$120,2,0),""))</f>
        <v/>
      </c>
      <c r="K61" s="205" t="str">
        <f>IFERROR(VLOOKUP($I61,'Institution Evaluation'!$A$55:$F$345,3,0),IFERROR(VLOOKUP($I61,'Privacy Analyst Evaluation'!$A$46:$F$120,3,0),""))&amp;""</f>
        <v/>
      </c>
      <c r="L61" s="205" t="str">
        <f>IFERROR(VLOOKUP($I61,'Institution Evaluation'!$A$55:$F$345,4,0),IFERROR(VLOOKUP($I61,'Privacy Analyst Evaluation'!$A$46:$F$120,4,0),""))&amp;""</f>
        <v/>
      </c>
      <c r="M61" s="205" t="str">
        <f>IFERROR(VLOOKUP($I61,'Institution Evaluation'!$A$55:$F$345,6,0),IFERROR(VLOOKUP($I61,'Privacy Analyst Evaluation'!$A$46:$F$120,6,0),""))&amp;""</f>
        <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row>
    <row r="62" spans="1:338" ht="105" x14ac:dyDescent="0.3">
      <c r="A62" s="205">
        <f>IFERROR(IF($A61+1&gt;'(backend scoring)'!$T$335,"",$A61+1),"")</f>
        <v>38</v>
      </c>
      <c r="B62" s="205" t="str">
        <f>_xlfn.XLOOKUP($A62,'(backend scoring)'!$V$2:$V$333,'(backend scoring)'!$A$2:$A$333,"")</f>
        <v>DATA-04</v>
      </c>
      <c r="C62" s="205" t="str">
        <f>IFERROR(VLOOKUP($B62,'Institution Evaluation'!$A$55:$F$345,2,0),IFERROR(VLOOKUP($B62,'Privacy Analyst Evaluation'!$A$46:$F$120,2,0),""))&amp;""</f>
        <v>Do all cryptographic modules in use in your solution conform to the Federal Information Processing Standards (FIPS PUB 140-2 or 140-3)?*</v>
      </c>
      <c r="D62" s="205" t="str">
        <f>IFERROR(VLOOKUP($B62,'Institution Evaluation'!$A$55:$F$345,3,0),IFERROR(VLOOKUP($B62,'Privacy Analyst Evaluation'!$A$46:$F$120,3,0),""))&amp;""</f>
        <v>No</v>
      </c>
      <c r="E62" s="205" t="str">
        <f>IFERROR(VLOOKUP($B62,'Institution Evaluation'!$A$55:$F$345,4,0),IFERROR(VLOOKUP($B62,'Privacy Analyst Evaluation'!$A$46:$F$120,4,0),""))&amp;""</f>
        <v>Cryptographic Modules used by Preservica are managed by the Cloud Service provider and are FIPS 140-2 Level 3 Compliant. FIPS 140-2 is still valid through 2026.</v>
      </c>
      <c r="F62" s="205" t="str">
        <f>IFERROR(VLOOKUP($B62,'Institution Evaluation'!$A$55:$F$345,6,0),IFERROR(VLOOKUP($B62,'Privacy Analyst Evaluation'!$A$46:$F$120,6,0),""))&amp;""</f>
        <v/>
      </c>
      <c r="G62" s="206"/>
      <c r="H62" s="205" t="str">
        <f>IFERROR(IF($H61+1&gt;'(backend scoring)'!$Q$335,"",$H61+1),"")</f>
        <v/>
      </c>
      <c r="I62" s="205" t="str">
        <f>_xlfn.XLOOKUP($H62,'(backend scoring)'!$S$2:$S$333,'(backend scoring)'!$A$2:$A$333,"")</f>
        <v/>
      </c>
      <c r="J62" s="205" t="str">
        <f>IFERROR(VLOOKUP($I62,'Institution Evaluation'!$A$55:$F$345,2,0),IFERROR(VLOOKUP($I62,'Privacy Analyst Evaluation'!$A$46:$F$120,2,0),""))</f>
        <v/>
      </c>
      <c r="K62" s="205" t="str">
        <f>IFERROR(VLOOKUP($I62,'Institution Evaluation'!$A$55:$F$345,3,0),IFERROR(VLOOKUP($I62,'Privacy Analyst Evaluation'!$A$46:$F$120,3,0),""))&amp;""</f>
        <v/>
      </c>
      <c r="L62" s="205" t="str">
        <f>IFERROR(VLOOKUP($I62,'Institution Evaluation'!$A$55:$F$345,4,0),IFERROR(VLOOKUP($I62,'Privacy Analyst Evaluation'!$A$46:$F$120,4,0),""))&amp;""</f>
        <v/>
      </c>
      <c r="M62" s="205" t="str">
        <f>IFERROR(VLOOKUP($I62,'Institution Evaluation'!$A$55:$F$345,6,0),IFERROR(VLOOKUP($I62,'Privacy Analyst Evaluation'!$A$46:$F$120,6,0),""))&amp;""</f>
        <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row>
    <row r="63" spans="1:338" ht="360" x14ac:dyDescent="0.3">
      <c r="A63" s="205">
        <f>IFERROR(IF($A62+1&gt;'(backend scoring)'!$T$335,"",$A62+1),"")</f>
        <v>39</v>
      </c>
      <c r="B63" s="205" t="str">
        <f>_xlfn.XLOOKUP($A63,'(backend scoring)'!$V$2:$V$333,'(backend scoring)'!$A$2:$A$333,"")</f>
        <v>DATA-05</v>
      </c>
      <c r="C63" s="205" t="str">
        <f>IFERROR(VLOOKUP($B63,'Institution Evaluation'!$A$55:$F$345,2,0),IFERROR(VLOOKUP($B63,'Privacy Analyst Evaluation'!$A$46:$F$120,2,0),""))&amp;""</f>
        <v>Will the institution's data be available within the system for a period of time at the completion of this contract?*</v>
      </c>
      <c r="D63" s="205" t="str">
        <f>IFERROR(VLOOKUP($B63,'Institution Evaluation'!$A$55:$F$345,3,0),IFERROR(VLOOKUP($B63,'Privacy Analyst Evaluation'!$A$46:$F$120,3,0),""))&amp;""</f>
        <v>Yes</v>
      </c>
      <c r="E63" s="205" t="str">
        <f>IFERROR(VLOOKUP($B63,'Institution Evaluation'!$A$55:$F$345,4,0),IFERROR(VLOOKUP($B63,'Privacy Analyst Evaluation'!$A$46:$F$120,4,0),""))&amp;""</f>
        <v>Institution data remains available within the system for export for up to 30 days following contract termination, after which Preservica is entitled to delete all institution data. Where continued access is required beyond that period, extensions can be purchased on a month-to-month basis. Enhanced exit assistance is also available as a paid option for institutions with specific regulatory or legislative exit requirements. Existing customers should refer to their signed agreement, which takes precedence over this general position.</v>
      </c>
      <c r="F63" s="205" t="str">
        <f>IFERROR(VLOOKUP($B63,'Institution Evaluation'!$A$55:$F$345,6,0),IFERROR(VLOOKUP($B63,'Privacy Analyst Evaluation'!$A$46:$F$120,6,0),""))&amp;""</f>
        <v/>
      </c>
      <c r="G63" s="206"/>
      <c r="H63" s="205" t="str">
        <f>IFERROR(IF($H62+1&gt;'(backend scoring)'!$Q$335,"",$H62+1),"")</f>
        <v/>
      </c>
      <c r="I63" s="205" t="str">
        <f>_xlfn.XLOOKUP($H63,'(backend scoring)'!$S$2:$S$333,'(backend scoring)'!$A$2:$A$333,"")</f>
        <v/>
      </c>
      <c r="J63" s="205" t="str">
        <f>IFERROR(VLOOKUP($I63,'Institution Evaluation'!$A$55:$F$345,2,0),IFERROR(VLOOKUP($I63,'Privacy Analyst Evaluation'!$A$46:$F$120,2,0),""))</f>
        <v/>
      </c>
      <c r="K63" s="205" t="str">
        <f>IFERROR(VLOOKUP($I63,'Institution Evaluation'!$A$55:$F$345,3,0),IFERROR(VLOOKUP($I63,'Privacy Analyst Evaluation'!$A$46:$F$120,3,0),""))&amp;""</f>
        <v/>
      </c>
      <c r="L63" s="205" t="str">
        <f>IFERROR(VLOOKUP($I63,'Institution Evaluation'!$A$55:$F$345,4,0),IFERROR(VLOOKUP($I63,'Privacy Analyst Evaluation'!$A$46:$F$120,4,0),""))&amp;""</f>
        <v/>
      </c>
      <c r="M63" s="205" t="str">
        <f>IFERROR(VLOOKUP($I63,'Institution Evaluation'!$A$55:$F$345,6,0),IFERROR(VLOOKUP($I63,'Privacy Analyst Evaluation'!$A$46:$F$120,6,0),""))&amp;""</f>
        <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row>
    <row r="64" spans="1:338" ht="409.5" x14ac:dyDescent="0.3">
      <c r="A64" s="205">
        <f>IFERROR(IF($A63+1&gt;'(backend scoring)'!$T$335,"",$A63+1),"")</f>
        <v>40</v>
      </c>
      <c r="B64" s="205" t="str">
        <f>_xlfn.XLOOKUP($A64,'(backend scoring)'!$V$2:$V$333,'(backend scoring)'!$A$2:$A$333,"")</f>
        <v>DATA-06</v>
      </c>
      <c r="C64" s="205" t="str">
        <f>IFERROR(VLOOKUP($B64,'Institution Evaluation'!$A$55:$F$345,2,0),IFERROR(VLOOKUP($B64,'Privacy Analyst Evaluation'!$A$46:$F$120,2,0),""))&amp;""</f>
        <v>Are ownership rights to all data, inputs, outputs, and metadata retained even through a provider acquisition or bankruptcy event?*</v>
      </c>
      <c r="D64" s="205" t="str">
        <f>IFERROR(VLOOKUP($B64,'Institution Evaluation'!$A$55:$F$345,3,0),IFERROR(VLOOKUP($B64,'Privacy Analyst Evaluation'!$A$46:$F$120,3,0),""))&amp;""</f>
        <v>Yes</v>
      </c>
      <c r="E64" s="205" t="str">
        <f>IFERROR(VLOOKUP($B64,'Institution Evaluation'!$A$55:$F$345,4,0),IFERROR(VLOOKUP($B64,'Privacy Analyst Evaluation'!$A$46:$F$120,4,0),""))&amp;""</f>
        <v>Institutions retain ownership and control of all data they place in or generate through the service — content ingested, data supplied as input to platform processing, outputs produced by that processing, and all associated descriptive, technical and preservation metadata — at all times, as set out in the contract Terms and Conditions. Preservica processes institution data only to provide the contracted service, on the institution's instructions and as required by applicable law, and does not use institution data to train or fine-tune any model. Institutions can export some or all of their content and metadata at any time during the contract term in a common machine-readable format, and Preservica supports the OPEX (Open Preservation Exchange) standard for structured export of preservation content and metadata. Source code escrow and key escrow are additionally available as chargeable options through a third-party escrow provider, under a tripartite registration agreement between Preservica, the institution and the escrow provider.</v>
      </c>
      <c r="F64" s="205" t="str">
        <f>IFERROR(VLOOKUP($B64,'Institution Evaluation'!$A$55:$F$345,6,0),IFERROR(VLOOKUP($B64,'Privacy Analyst Evaluation'!$A$46:$F$120,6,0),""))&amp;""</f>
        <v/>
      </c>
      <c r="G64" s="206"/>
      <c r="H64" s="205" t="str">
        <f>IFERROR(IF($H63+1&gt;'(backend scoring)'!$Q$335,"",$H63+1),"")</f>
        <v/>
      </c>
      <c r="I64" s="205" t="str">
        <f>_xlfn.XLOOKUP($H64,'(backend scoring)'!$S$2:$S$333,'(backend scoring)'!$A$2:$A$333,"")</f>
        <v/>
      </c>
      <c r="J64" s="205" t="str">
        <f>IFERROR(VLOOKUP($I64,'Institution Evaluation'!$A$55:$F$345,2,0),IFERROR(VLOOKUP($I64,'Privacy Analyst Evaluation'!$A$46:$F$120,2,0),""))</f>
        <v/>
      </c>
      <c r="K64" s="205" t="str">
        <f>IFERROR(VLOOKUP($I64,'Institution Evaluation'!$A$55:$F$345,3,0),IFERROR(VLOOKUP($I64,'Privacy Analyst Evaluation'!$A$46:$F$120,3,0),""))&amp;""</f>
        <v/>
      </c>
      <c r="L64" s="205" t="str">
        <f>IFERROR(VLOOKUP($I64,'Institution Evaluation'!$A$55:$F$345,4,0),IFERROR(VLOOKUP($I64,'Privacy Analyst Evaluation'!$A$46:$F$120,4,0),""))&amp;""</f>
        <v/>
      </c>
      <c r="M64" s="205" t="str">
        <f>IFERROR(VLOOKUP($I64,'Institution Evaluation'!$A$55:$F$345,6,0),IFERROR(VLOOKUP($I64,'Privacy Analyst Evaluation'!$A$46:$F$120,6,0),""))&amp;""</f>
        <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row>
    <row r="65" spans="1:338" ht="409.5" x14ac:dyDescent="0.3">
      <c r="A65" s="205">
        <f>IFERROR(IF($A64+1&gt;'(backend scoring)'!$T$335,"",$A64+1),"")</f>
        <v>41</v>
      </c>
      <c r="B65" s="205" t="str">
        <f>_xlfn.XLOOKUP($A65,'(backend scoring)'!$V$2:$V$333,'(backend scoring)'!$A$2:$A$333,"")</f>
        <v>DATA-07</v>
      </c>
      <c r="C65" s="205" t="str">
        <f>IFERROR(VLOOKUP($B65,'Institution Evaluation'!$A$55:$F$345,2,0),IFERROR(VLOOKUP($B65,'Privacy Analyst Evaluation'!$A$46:$F$120,2,0),""))&amp;""</f>
        <v>Do backups containing the institution's data ever leave the institution's data zone either physically or via network routing?*</v>
      </c>
      <c r="D65" s="205" t="str">
        <f>IFERROR(VLOOKUP($B65,'Institution Evaluation'!$A$55:$F$345,3,0),IFERROR(VLOOKUP($B65,'Privacy Analyst Evaluation'!$A$46:$F$120,3,0),""))&amp;""</f>
        <v>No</v>
      </c>
      <c r="E65" s="205" t="str">
        <f>IFERROR(VLOOKUP($B65,'Institution Evaluation'!$A$55:$F$345,4,0),IFERROR(VLOOKUP($B65,'Privacy Analyst Evaluation'!$A$46:$F$120,4,0),""))&amp;""</f>
        <v>Institution data, including all backup copies, is stored and processed only within the geographic region specified in the Data Residency section of the institution's Order Form. This is a contractual and enforceable commitment: data is not moved, replicated or processed outside that region except where explicitly instructed by the institution or required by applicable law. Resilience and recovery arrangements are designed so that institution data does not move across regions or outside agreed jurisdictional boundaries, and sub-processors are approved and used on a region-dependent basis consistent with the same commitment.</v>
      </c>
      <c r="F65" s="205" t="str">
        <f>IFERROR(VLOOKUP($B65,'Institution Evaluation'!$A$55:$F$345,6,0),IFERROR(VLOOKUP($B65,'Privacy Analyst Evaluation'!$A$46:$F$120,6,0),""))&amp;""</f>
        <v/>
      </c>
      <c r="G65" s="206"/>
      <c r="H65" s="205" t="str">
        <f>IFERROR(IF($H64+1&gt;'(backend scoring)'!$Q$335,"",$H64+1),"")</f>
        <v/>
      </c>
      <c r="I65" s="205" t="str">
        <f>_xlfn.XLOOKUP($H65,'(backend scoring)'!$S$2:$S$333,'(backend scoring)'!$A$2:$A$333,"")</f>
        <v/>
      </c>
      <c r="J65" s="205" t="str">
        <f>IFERROR(VLOOKUP($I65,'Institution Evaluation'!$A$55:$F$345,2,0),IFERROR(VLOOKUP($I65,'Privacy Analyst Evaluation'!$A$46:$F$120,2,0),""))</f>
        <v/>
      </c>
      <c r="K65" s="205" t="str">
        <f>IFERROR(VLOOKUP($I65,'Institution Evaluation'!$A$55:$F$345,3,0),IFERROR(VLOOKUP($I65,'Privacy Analyst Evaluation'!$A$46:$F$120,3,0),""))&amp;""</f>
        <v/>
      </c>
      <c r="L65" s="205" t="str">
        <f>IFERROR(VLOOKUP($I65,'Institution Evaluation'!$A$55:$F$345,4,0),IFERROR(VLOOKUP($I65,'Privacy Analyst Evaluation'!$A$46:$F$120,4,0),""))&amp;""</f>
        <v/>
      </c>
      <c r="M65" s="205" t="str">
        <f>IFERROR(VLOOKUP($I65,'Institution Evaluation'!$A$55:$F$345,6,0),IFERROR(VLOOKUP($I65,'Privacy Analyst Evaluation'!$A$46:$F$120,6,0),""))&amp;""</f>
        <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row>
    <row r="66" spans="1:338" ht="409.5" x14ac:dyDescent="0.3">
      <c r="A66" s="205">
        <f>IFERROR(IF($A65+1&gt;'(backend scoring)'!$T$335,"",$A65+1),"")</f>
        <v>42</v>
      </c>
      <c r="B66" s="205" t="str">
        <f>_xlfn.XLOOKUP($A66,'(backend scoring)'!$V$2:$V$333,'(backend scoring)'!$A$2:$A$333,"")</f>
        <v>DATA-08</v>
      </c>
      <c r="C66" s="205" t="str">
        <f>IFERROR(VLOOKUP($B66,'Institution Evaluation'!$A$55:$F$345,2,0),IFERROR(VLOOKUP($B66,'Privacy Analyst Evaluation'!$A$46:$F$120,2,0),""))&amp;""</f>
        <v>Is media used for long-term retention of business data and archival purposes stored in a secure, environmentally protected area?*</v>
      </c>
      <c r="D66" s="205" t="str">
        <f>IFERROR(VLOOKUP($B66,'Institution Evaluation'!$A$55:$F$345,3,0),IFERROR(VLOOKUP($B66,'Privacy Analyst Evaluation'!$A$46:$F$120,3,0),""))&amp;""</f>
        <v>Yes</v>
      </c>
      <c r="E66" s="205" t="str">
        <f>IFERROR(VLOOKUP($B66,'Institution Evaluation'!$A$55:$F$345,4,0),IFERROR(VLOOKUP($B66,'Privacy Analyst Evaluation'!$A$46:$F$120,4,0),""))&amp;""</f>
        <v>Preservica does not operate its own data centres. Institution data, including long-term retention and archival copies, is held exclusively in AWS or Microsoft Azure facilities. Physical and environmental security of those facilities is the provider's responsibility and is covered by their own independently audited certifications and attestations, including ISO 27001 and SOC 2. Preservica reviews those certifications and attestations at least annually as part of its critical supplier review process, which operates under Preservica's ISO/IEC 27001:2022 and ISO 9001:2015 certified management systems. Preservica's own compliance documentation is available at https://preservica.com/trust-center</v>
      </c>
      <c r="F66" s="205" t="str">
        <f>IFERROR(VLOOKUP($B66,'Institution Evaluation'!$A$55:$F$345,6,0),IFERROR(VLOOKUP($B66,'Privacy Analyst Evaluation'!$A$46:$F$120,6,0),""))&amp;""</f>
        <v/>
      </c>
      <c r="G66" s="206"/>
      <c r="H66" s="205" t="str">
        <f>IFERROR(IF($H65+1&gt;'(backend scoring)'!$Q$335,"",$H65+1),"")</f>
        <v/>
      </c>
      <c r="I66" s="205" t="str">
        <f>_xlfn.XLOOKUP($H66,'(backend scoring)'!$S$2:$S$333,'(backend scoring)'!$A$2:$A$333,"")</f>
        <v/>
      </c>
      <c r="J66" s="205" t="str">
        <f>IFERROR(VLOOKUP($I66,'Institution Evaluation'!$A$55:$F$345,2,0),IFERROR(VLOOKUP($I66,'Privacy Analyst Evaluation'!$A$46:$F$120,2,0),""))</f>
        <v/>
      </c>
      <c r="K66" s="205" t="str">
        <f>IFERROR(VLOOKUP($I66,'Institution Evaluation'!$A$55:$F$345,3,0),IFERROR(VLOOKUP($I66,'Privacy Analyst Evaluation'!$A$46:$F$120,3,0),""))&amp;""</f>
        <v/>
      </c>
      <c r="L66" s="205" t="str">
        <f>IFERROR(VLOOKUP($I66,'Institution Evaluation'!$A$55:$F$345,4,0),IFERROR(VLOOKUP($I66,'Privacy Analyst Evaluation'!$A$46:$F$120,4,0),""))&amp;""</f>
        <v/>
      </c>
      <c r="M66" s="205" t="str">
        <f>IFERROR(VLOOKUP($I66,'Institution Evaluation'!$A$55:$F$345,6,0),IFERROR(VLOOKUP($I66,'Privacy Analyst Evaluation'!$A$46:$F$120,6,0),""))&amp;""</f>
        <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row>
    <row r="67" spans="1:338" ht="75" x14ac:dyDescent="0.3">
      <c r="A67" s="205">
        <f>IFERROR(IF($A66+1&gt;'(backend scoring)'!$T$335,"",$A66+1),"")</f>
        <v>43</v>
      </c>
      <c r="B67" s="205" t="str">
        <f>_xlfn.XLOOKUP($A67,'(backend scoring)'!$V$2:$V$333,'(backend scoring)'!$A$2:$A$333,"")</f>
        <v>DCTR-06</v>
      </c>
      <c r="C67" s="205" t="str">
        <f>IFERROR(VLOOKUP($B67,'Institution Evaluation'!$A$55:$F$345,2,0),IFERROR(VLOOKUP($B67,'Privacy Analyst Evaluation'!$A$46:$F$120,2,0),""))&amp;""</f>
        <v>Does a physical barrier fully enclose the physical space, preventing unauthorized physical contact with any of your devices?*</v>
      </c>
      <c r="D67" s="205" t="str">
        <f>IFERROR(VLOOKUP($B67,'Institution Evaluation'!$A$55:$F$345,3,0),IFERROR(VLOOKUP($B67,'Privacy Analyst Evaluation'!$A$46:$F$120,3,0),""))&amp;""</f>
        <v/>
      </c>
      <c r="E67" s="205" t="str">
        <f>IFERROR(VLOOKUP($B67,'Institution Evaluation'!$A$55:$F$345,4,0),IFERROR(VLOOKUP($B67,'Privacy Analyst Evaluation'!$A$46:$F$120,4,0),""))&amp;""</f>
        <v>This question does not apply.</v>
      </c>
      <c r="F67" s="205" t="str">
        <f>IFERROR(VLOOKUP($B67,'Institution Evaluation'!$A$55:$F$345,6,0),IFERROR(VLOOKUP($B67,'Privacy Analyst Evaluation'!$A$46:$F$120,6,0),""))&amp;""</f>
        <v/>
      </c>
      <c r="G67" s="206"/>
      <c r="H67" s="205" t="str">
        <f>IFERROR(IF($H66+1&gt;'(backend scoring)'!$Q$335,"",$H66+1),"")</f>
        <v/>
      </c>
      <c r="I67" s="205" t="str">
        <f>_xlfn.XLOOKUP($H67,'(backend scoring)'!$S$2:$S$333,'(backend scoring)'!$A$2:$A$333,"")</f>
        <v/>
      </c>
      <c r="J67" s="205" t="str">
        <f>IFERROR(VLOOKUP($I67,'Institution Evaluation'!$A$55:$F$345,2,0),IFERROR(VLOOKUP($I67,'Privacy Analyst Evaluation'!$A$46:$F$120,2,0),""))</f>
        <v/>
      </c>
      <c r="K67" s="205" t="str">
        <f>IFERROR(VLOOKUP($I67,'Institution Evaluation'!$A$55:$F$345,3,0),IFERROR(VLOOKUP($I67,'Privacy Analyst Evaluation'!$A$46:$F$120,3,0),""))&amp;""</f>
        <v/>
      </c>
      <c r="L67" s="205" t="str">
        <f>IFERROR(VLOOKUP($I67,'Institution Evaluation'!$A$55:$F$345,4,0),IFERROR(VLOOKUP($I67,'Privacy Analyst Evaluation'!$A$46:$F$120,4,0),""))&amp;""</f>
        <v/>
      </c>
      <c r="M67" s="205" t="str">
        <f>IFERROR(VLOOKUP($I67,'Institution Evaluation'!$A$55:$F$345,6,0),IFERROR(VLOOKUP($I67,'Privacy Analyst Evaluation'!$A$46:$F$120,6,0),""))&amp;""</f>
        <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row>
    <row r="68" spans="1:338" ht="30" x14ac:dyDescent="0.3">
      <c r="A68" s="205">
        <f>IFERROR(IF($A67+1&gt;'(backend scoring)'!$T$335,"",$A67+1),"")</f>
        <v>44</v>
      </c>
      <c r="B68" s="205" t="str">
        <f>_xlfn.XLOOKUP($A68,'(backend scoring)'!$V$2:$V$333,'(backend scoring)'!$A$2:$A$333,"")</f>
        <v>DCTR-10</v>
      </c>
      <c r="C68" s="205" t="str">
        <f>IFERROR(VLOOKUP($B68,'Institution Evaluation'!$A$55:$F$345,2,0),IFERROR(VLOOKUP($B68,'Privacy Analyst Evaluation'!$A$46:$F$120,2,0),""))&amp;""</f>
        <v>Are redundant power strategies tested?*</v>
      </c>
      <c r="D68" s="205" t="str">
        <f>IFERROR(VLOOKUP($B68,'Institution Evaluation'!$A$55:$F$345,3,0),IFERROR(VLOOKUP($B68,'Privacy Analyst Evaluation'!$A$46:$F$120,3,0),""))&amp;""</f>
        <v/>
      </c>
      <c r="E68" s="205" t="str">
        <f>IFERROR(VLOOKUP($B68,'Institution Evaluation'!$A$55:$F$345,4,0),IFERROR(VLOOKUP($B68,'Privacy Analyst Evaluation'!$A$46:$F$120,4,0),""))&amp;""</f>
        <v>This question does not apply.</v>
      </c>
      <c r="F68" s="205" t="str">
        <f>IFERROR(VLOOKUP($B68,'Institution Evaluation'!$A$55:$F$345,6,0),IFERROR(VLOOKUP($B68,'Privacy Analyst Evaluation'!$A$46:$F$120,6,0),""))&amp;""</f>
        <v/>
      </c>
      <c r="G68" s="206"/>
      <c r="H68" s="205" t="str">
        <f>IFERROR(IF($H67+1&gt;'(backend scoring)'!$Q$335,"",$H67+1),"")</f>
        <v/>
      </c>
      <c r="I68" s="205" t="str">
        <f>_xlfn.XLOOKUP($H68,'(backend scoring)'!$S$2:$S$333,'(backend scoring)'!$A$2:$A$333,"")</f>
        <v/>
      </c>
      <c r="J68" s="205" t="str">
        <f>IFERROR(VLOOKUP($I68,'Institution Evaluation'!$A$55:$F$345,2,0),IFERROR(VLOOKUP($I68,'Privacy Analyst Evaluation'!$A$46:$F$120,2,0),""))</f>
        <v/>
      </c>
      <c r="K68" s="205" t="str">
        <f>IFERROR(VLOOKUP($I68,'Institution Evaluation'!$A$55:$F$345,3,0),IFERROR(VLOOKUP($I68,'Privacy Analyst Evaluation'!$A$46:$F$120,3,0),""))&amp;""</f>
        <v/>
      </c>
      <c r="L68" s="205" t="str">
        <f>IFERROR(VLOOKUP($I68,'Institution Evaluation'!$A$55:$F$345,4,0),IFERROR(VLOOKUP($I68,'Privacy Analyst Evaluation'!$A$46:$F$120,4,0),""))&amp;""</f>
        <v/>
      </c>
      <c r="M68" s="205" t="str">
        <f>IFERROR(VLOOKUP($I68,'Institution Evaluation'!$A$55:$F$345,6,0),IFERROR(VLOOKUP($I68,'Privacy Analyst Evaluation'!$A$46:$F$120,6,0),""))&amp;""</f>
        <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row>
    <row r="69" spans="1:338" ht="409.5" x14ac:dyDescent="0.3">
      <c r="A69" s="205">
        <f>IFERROR(IF($A68+1&gt;'(backend scoring)'!$T$335,"",$A68+1),"")</f>
        <v>45</v>
      </c>
      <c r="B69" s="205" t="str">
        <f>_xlfn.XLOOKUP($A69,'(backend scoring)'!$V$2:$V$333,'(backend scoring)'!$A$2:$A$333,"")</f>
        <v>FIDP-01</v>
      </c>
      <c r="C69" s="205" t="str">
        <f>IFERROR(VLOOKUP($B69,'Institution Evaluation'!$A$55:$F$345,2,0),IFERROR(VLOOKUP($B69,'Privacy Analyst Evaluation'!$A$46:$F$120,2,0),""))&amp;""</f>
        <v>Are you utilizing a stateful packet inspection (SPI) firewall?*</v>
      </c>
      <c r="D69" s="205" t="str">
        <f>IFERROR(VLOOKUP($B69,'Institution Evaluation'!$A$55:$F$345,3,0),IFERROR(VLOOKUP($B69,'Privacy Analyst Evaluation'!$A$46:$F$120,3,0),""))&amp;""</f>
        <v>Yes</v>
      </c>
      <c r="E69" s="205" t="str">
        <f>IFERROR(VLOOKUP($B69,'Institution Evaluation'!$A$55:$F$345,4,0),IFERROR(VLOOKUP($B69,'Privacy Analyst Evaluation'!$A$46:$F$120,4,0),""))&amp;""</f>
        <v>Ingress from public to private networks is controlled by cloud-native stateful network access controls operating on a deny-by-default basis, permitting only the specific services required. All cloud environments are contained within isolated virtual private networks; communication between environments is prohibited by default and permitted only where strictly necessary and explicitly approved, and production and non-production networks are logically separated. Servers additionally run host-based firewalls that drop all inbound traffic other than known services. Rules are managed by Preservica's Cloud Operations team under the documented change management process.</v>
      </c>
      <c r="F69" s="205" t="str">
        <f>IFERROR(VLOOKUP($B69,'Institution Evaluation'!$A$55:$F$345,6,0),IFERROR(VLOOKUP($B69,'Privacy Analyst Evaluation'!$A$46:$F$120,6,0),""))&amp;""</f>
        <v/>
      </c>
      <c r="G69" s="206"/>
      <c r="H69" s="205" t="str">
        <f>IFERROR(IF($H68+1&gt;'(backend scoring)'!$Q$335,"",$H68+1),"")</f>
        <v/>
      </c>
      <c r="I69" s="205" t="str">
        <f>_xlfn.XLOOKUP($H69,'(backend scoring)'!$S$2:$S$333,'(backend scoring)'!$A$2:$A$333,"")</f>
        <v/>
      </c>
      <c r="J69" s="205" t="str">
        <f>IFERROR(VLOOKUP($I69,'Institution Evaluation'!$A$55:$F$345,2,0),IFERROR(VLOOKUP($I69,'Privacy Analyst Evaluation'!$A$46:$F$120,2,0),""))</f>
        <v/>
      </c>
      <c r="K69" s="205" t="str">
        <f>IFERROR(VLOOKUP($I69,'Institution Evaluation'!$A$55:$F$345,3,0),IFERROR(VLOOKUP($I69,'Privacy Analyst Evaluation'!$A$46:$F$120,3,0),""))&amp;""</f>
        <v/>
      </c>
      <c r="L69" s="205" t="str">
        <f>IFERROR(VLOOKUP($I69,'Institution Evaluation'!$A$55:$F$345,4,0),IFERROR(VLOOKUP($I69,'Privacy Analyst Evaluation'!$A$46:$F$120,4,0),""))&amp;""</f>
        <v/>
      </c>
      <c r="M69" s="205" t="str">
        <f>IFERROR(VLOOKUP($I69,'Institution Evaluation'!$A$55:$F$345,6,0),IFERROR(VLOOKUP($I69,'Privacy Analyst Evaluation'!$A$46:$F$120,6,0),""))&amp;""</f>
        <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row>
    <row r="70" spans="1:338" ht="409.5" x14ac:dyDescent="0.3">
      <c r="A70" s="205">
        <f>IFERROR(IF($A69+1&gt;'(backend scoring)'!$T$335,"",$A69+1),"")</f>
        <v>46</v>
      </c>
      <c r="B70" s="205" t="str">
        <f>_xlfn.XLOOKUP($A70,'(backend scoring)'!$V$2:$V$333,'(backend scoring)'!$A$2:$A$333,"")</f>
        <v>FIDP-02</v>
      </c>
      <c r="C70" s="205" t="str">
        <f>IFERROR(VLOOKUP($B70,'Institution Evaluation'!$A$55:$F$345,2,0),IFERROR(VLOOKUP($B70,'Privacy Analyst Evaluation'!$A$46:$F$120,2,0),""))&amp;""</f>
        <v>Do you have a documented policy for firewall change requests?*</v>
      </c>
      <c r="D70" s="205" t="str">
        <f>IFERROR(VLOOKUP($B70,'Institution Evaluation'!$A$55:$F$345,3,0),IFERROR(VLOOKUP($B70,'Privacy Analyst Evaluation'!$A$46:$F$120,3,0),""))&amp;""</f>
        <v>Yes</v>
      </c>
      <c r="E70" s="205" t="str">
        <f>IFERROR(VLOOKUP($B70,'Institution Evaluation'!$A$55:$F$345,4,0),IFERROR(VLOOKUP($B70,'Privacy Analyst Evaluation'!$A$46:$F$120,4,0),""))&amp;""</f>
        <v>Firewall and network access control changes are managed under Preservica's documented Change Management procedure, which governs the authorisation, testing and approval of all system changes and is independently tested within Preservica's annual SOC 2 Type II audit. Changes are documented in tickets and subject to quality assurance before implementation. A Change Advisory Board, comprising the Cloud Operations team and chaired by the Operations Director as Change Manager, meets on a fortnightly cycle and approves or denies requests on a holistic view of all changes in the period. The procedure provides for rollback of changes where necessary, and production access is restricted to authorised Operations staff.</v>
      </c>
      <c r="F70" s="205" t="str">
        <f>IFERROR(VLOOKUP($B70,'Institution Evaluation'!$A$55:$F$345,6,0),IFERROR(VLOOKUP($B70,'Privacy Analyst Evaluation'!$A$46:$F$120,6,0),""))&amp;""</f>
        <v/>
      </c>
      <c r="G70" s="206"/>
      <c r="H70" s="205" t="str">
        <f>IFERROR(IF($H69+1&gt;'(backend scoring)'!$Q$335,"",$H69+1),"")</f>
        <v/>
      </c>
      <c r="I70" s="205" t="str">
        <f>_xlfn.XLOOKUP($H70,'(backend scoring)'!$S$2:$S$333,'(backend scoring)'!$A$2:$A$333,"")</f>
        <v/>
      </c>
      <c r="J70" s="205" t="str">
        <f>IFERROR(VLOOKUP($I70,'Institution Evaluation'!$A$55:$F$345,2,0),IFERROR(VLOOKUP($I70,'Privacy Analyst Evaluation'!$A$46:$F$120,2,0),""))</f>
        <v/>
      </c>
      <c r="K70" s="205" t="str">
        <f>IFERROR(VLOOKUP($I70,'Institution Evaluation'!$A$55:$F$345,3,0),IFERROR(VLOOKUP($I70,'Privacy Analyst Evaluation'!$A$46:$F$120,3,0),""))&amp;""</f>
        <v/>
      </c>
      <c r="L70" s="205" t="str">
        <f>IFERROR(VLOOKUP($I70,'Institution Evaluation'!$A$55:$F$345,4,0),IFERROR(VLOOKUP($I70,'Privacy Analyst Evaluation'!$A$46:$F$120,4,0),""))&amp;""</f>
        <v/>
      </c>
      <c r="M70" s="205" t="str">
        <f>IFERROR(VLOOKUP($I70,'Institution Evaluation'!$A$55:$F$345,6,0),IFERROR(VLOOKUP($I70,'Privacy Analyst Evaluation'!$A$46:$F$120,6,0),""))&amp;""</f>
        <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row>
    <row r="71" spans="1:338" ht="285" x14ac:dyDescent="0.3">
      <c r="A71" s="205">
        <f>IFERROR(IF($A70+1&gt;'(backend scoring)'!$T$335,"",$A70+1),"")</f>
        <v>47</v>
      </c>
      <c r="B71" s="205" t="str">
        <f>_xlfn.XLOOKUP($A71,'(backend scoring)'!$V$2:$V$333,'(backend scoring)'!$A$2:$A$333,"")</f>
        <v>FIDP-03</v>
      </c>
      <c r="C71" s="205" t="str">
        <f>IFERROR(VLOOKUP($B71,'Institution Evaluation'!$A$55:$F$345,2,0),IFERROR(VLOOKUP($B71,'Privacy Analyst Evaluation'!$A$46:$F$120,2,0),""))&amp;""</f>
        <v>Have you implemented an intrusion detection system (network-based)?*</v>
      </c>
      <c r="D71" s="205" t="str">
        <f>IFERROR(VLOOKUP($B71,'Institution Evaluation'!$A$55:$F$345,3,0),IFERROR(VLOOKUP($B71,'Privacy Analyst Evaluation'!$A$46:$F$120,3,0),""))&amp;""</f>
        <v>Yes</v>
      </c>
      <c r="E71" s="205" t="str">
        <f>IFERROR(VLOOKUP($B71,'Institution Evaluation'!$A$55:$F$345,4,0),IFERROR(VLOOKUP($B71,'Privacy Analyst Evaluation'!$A$46:$F$120,4,0),""))&amp;""</f>
        <v>Preservica has implemented Extended Detection and Response (XDR) capabilities across all applicable infrastructure, providing network-based intrusion detection. Detections feed 24x7x365 security operations centre and SIEM monitoring, with relevant infrastructure logs retained for a minimum of 30 days. Coverage of these controls is independently tested within Preservica's annual SOC 2 Type II audit.</v>
      </c>
      <c r="F71" s="205" t="str">
        <f>IFERROR(VLOOKUP($B71,'Institution Evaluation'!$A$55:$F$345,6,0),IFERROR(VLOOKUP($B71,'Privacy Analyst Evaluation'!$A$46:$F$120,6,0),""))&amp;""</f>
        <v/>
      </c>
      <c r="G71" s="206"/>
      <c r="H71" s="205" t="str">
        <f>IFERROR(IF($H70+1&gt;'(backend scoring)'!$Q$335,"",$H70+1),"")</f>
        <v/>
      </c>
      <c r="I71" s="205" t="str">
        <f>_xlfn.XLOOKUP($H71,'(backend scoring)'!$S$2:$S$333,'(backend scoring)'!$A$2:$A$333,"")</f>
        <v/>
      </c>
      <c r="J71" s="205" t="str">
        <f>IFERROR(VLOOKUP($I71,'Institution Evaluation'!$A$55:$F$345,2,0),IFERROR(VLOOKUP($I71,'Privacy Analyst Evaluation'!$A$46:$F$120,2,0),""))</f>
        <v/>
      </c>
      <c r="K71" s="205" t="str">
        <f>IFERROR(VLOOKUP($I71,'Institution Evaluation'!$A$55:$F$345,3,0),IFERROR(VLOOKUP($I71,'Privacy Analyst Evaluation'!$A$46:$F$120,3,0),""))&amp;""</f>
        <v/>
      </c>
      <c r="L71" s="205" t="str">
        <f>IFERROR(VLOOKUP($I71,'Institution Evaluation'!$A$55:$F$345,4,0),IFERROR(VLOOKUP($I71,'Privacy Analyst Evaluation'!$A$46:$F$120,4,0),""))&amp;""</f>
        <v/>
      </c>
      <c r="M71" s="205" t="str">
        <f>IFERROR(VLOOKUP($I71,'Institution Evaluation'!$A$55:$F$345,6,0),IFERROR(VLOOKUP($I71,'Privacy Analyst Evaluation'!$A$46:$F$120,6,0),""))&amp;""</f>
        <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row>
    <row r="72" spans="1:338" ht="330" x14ac:dyDescent="0.3">
      <c r="A72" s="205">
        <f>IFERROR(IF($A71+1&gt;'(backend scoring)'!$T$335,"",$A71+1),"")</f>
        <v>48</v>
      </c>
      <c r="B72" s="205" t="str">
        <f>_xlfn.XLOOKUP($A72,'(backend scoring)'!$V$2:$V$333,'(backend scoring)'!$A$2:$A$333,"")</f>
        <v>FIDP-04</v>
      </c>
      <c r="C72" s="205" t="str">
        <f>IFERROR(VLOOKUP($B72,'Institution Evaluation'!$A$55:$F$345,2,0),IFERROR(VLOOKUP($B72,'Privacy Analyst Evaluation'!$A$46:$F$120,2,0),""))&amp;""</f>
        <v>Do you employ host-based intrusion detection?*</v>
      </c>
      <c r="D72" s="205" t="str">
        <f>IFERROR(VLOOKUP($B72,'Institution Evaluation'!$A$55:$F$345,3,0),IFERROR(VLOOKUP($B72,'Privacy Analyst Evaluation'!$A$46:$F$120,3,0),""))&amp;""</f>
        <v>Yes</v>
      </c>
      <c r="E72" s="205" t="str">
        <f>IFERROR(VLOOKUP($B72,'Institution Evaluation'!$A$55:$F$345,4,0),IFERROR(VLOOKUP($B72,'Privacy Analyst Evaluation'!$A$46:$F$120,4,0),""))&amp;""</f>
        <v>Preservica has implemented Extended Detection and Response (XDR) capabilities across all applicable infrastructure, providing host-based intrusion detection on service hosts in addition to network-based detection. Detections feed 24x7x365 security operations centre and SIEM monitoring, with relevant infrastructure logs retained for a minimum of 30 days. Coverage of these controls is independently tested within Preservica's annual SOC 2 Type II audit.</v>
      </c>
      <c r="F72" s="205" t="str">
        <f>IFERROR(VLOOKUP($B72,'Institution Evaluation'!$A$55:$F$345,6,0),IFERROR(VLOOKUP($B72,'Privacy Analyst Evaluation'!$A$46:$F$120,6,0),""))&amp;""</f>
        <v/>
      </c>
      <c r="G72" s="206"/>
      <c r="H72" s="205" t="str">
        <f>IFERROR(IF($H71+1&gt;'(backend scoring)'!$Q$335,"",$H71+1),"")</f>
        <v/>
      </c>
      <c r="I72" s="205" t="str">
        <f>_xlfn.XLOOKUP($H72,'(backend scoring)'!$S$2:$S$333,'(backend scoring)'!$A$2:$A$333,"")</f>
        <v/>
      </c>
      <c r="J72" s="205" t="str">
        <f>IFERROR(VLOOKUP($I72,'Institution Evaluation'!$A$55:$F$345,2,0),IFERROR(VLOOKUP($I72,'Privacy Analyst Evaluation'!$A$46:$F$120,2,0),""))</f>
        <v/>
      </c>
      <c r="K72" s="205" t="str">
        <f>IFERROR(VLOOKUP($I72,'Institution Evaluation'!$A$55:$F$345,3,0),IFERROR(VLOOKUP($I72,'Privacy Analyst Evaluation'!$A$46:$F$120,3,0),""))&amp;""</f>
        <v/>
      </c>
      <c r="L72" s="205" t="str">
        <f>IFERROR(VLOOKUP($I72,'Institution Evaluation'!$A$55:$F$345,4,0),IFERROR(VLOOKUP($I72,'Privacy Analyst Evaluation'!$A$46:$F$120,4,0),""))&amp;""</f>
        <v/>
      </c>
      <c r="M72" s="205" t="str">
        <f>IFERROR(VLOOKUP($I72,'Institution Evaluation'!$A$55:$F$345,6,0),IFERROR(VLOOKUP($I72,'Privacy Analyst Evaluation'!$A$46:$F$120,6,0),""))&amp;""</f>
        <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row>
    <row r="73" spans="1:338" ht="405" x14ac:dyDescent="0.3">
      <c r="A73" s="205">
        <f>IFERROR(IF($A72+1&gt;'(backend scoring)'!$T$335,"",$A72+1),"")</f>
        <v>49</v>
      </c>
      <c r="B73" s="205" t="str">
        <f>_xlfn.XLOOKUP($A73,'(backend scoring)'!$V$2:$V$333,'(backend scoring)'!$A$2:$A$333,"")</f>
        <v>FIDP-05</v>
      </c>
      <c r="C73" s="205" t="str">
        <f>IFERROR(VLOOKUP($B73,'Institution Evaluation'!$A$55:$F$345,2,0),IFERROR(VLOOKUP($B73,'Privacy Analyst Evaluation'!$A$46:$F$120,2,0),""))&amp;""</f>
        <v>Are audit logs available for all changes to the network, firewall, IDS, and IPS systems?*</v>
      </c>
      <c r="D73" s="205" t="str">
        <f>IFERROR(VLOOKUP($B73,'Institution Evaluation'!$A$55:$F$345,3,0),IFERROR(VLOOKUP($B73,'Privacy Analyst Evaluation'!$A$46:$F$120,3,0),""))&amp;""</f>
        <v>Yes</v>
      </c>
      <c r="E73" s="205" t="str">
        <f>IFERROR(VLOOKUP($B73,'Institution Evaluation'!$A$55:$F$345,4,0),IFERROR(VLOOKUP($B73,'Privacy Analyst Evaluation'!$A$46:$F$120,4,0),""))&amp;""</f>
        <v>Changes to network, firewall and intrusion detection and prevention configuration are recorded as documented change tickets under Preservica's Change Management procedure, which is independently tested within its annual SOC 2 Type II audit. Preservica collects, collates and monitors the underlying infrastructure logs for the service, retaining them for a minimum of 30 days and feeding them into 24x7x365 security operations centre and SIEM monitoring. Logs are shipped to a central SIEM, so local modification is detectable, and access to log data is restricted to authorised personnel.</v>
      </c>
      <c r="F73" s="205" t="str">
        <f>IFERROR(VLOOKUP($B73,'Institution Evaluation'!$A$55:$F$345,6,0),IFERROR(VLOOKUP($B73,'Privacy Analyst Evaluation'!$A$46:$F$120,6,0),""))&amp;""</f>
        <v/>
      </c>
      <c r="G73" s="206"/>
      <c r="H73" s="205" t="str">
        <f>IFERROR(IF($H72+1&gt;'(backend scoring)'!$Q$335,"",$H72+1),"")</f>
        <v/>
      </c>
      <c r="I73" s="205" t="str">
        <f>_xlfn.XLOOKUP($H73,'(backend scoring)'!$S$2:$S$333,'(backend scoring)'!$A$2:$A$333,"")</f>
        <v/>
      </c>
      <c r="J73" s="205" t="str">
        <f>IFERROR(VLOOKUP($I73,'Institution Evaluation'!$A$55:$F$345,2,0),IFERROR(VLOOKUP($I73,'Privacy Analyst Evaluation'!$A$46:$F$120,2,0),""))</f>
        <v/>
      </c>
      <c r="K73" s="205" t="str">
        <f>IFERROR(VLOOKUP($I73,'Institution Evaluation'!$A$55:$F$345,3,0),IFERROR(VLOOKUP($I73,'Privacy Analyst Evaluation'!$A$46:$F$120,3,0),""))&amp;""</f>
        <v/>
      </c>
      <c r="L73" s="205" t="str">
        <f>IFERROR(VLOOKUP($I73,'Institution Evaluation'!$A$55:$F$345,4,0),IFERROR(VLOOKUP($I73,'Privacy Analyst Evaluation'!$A$46:$F$120,4,0),""))&amp;""</f>
        <v/>
      </c>
      <c r="M73" s="205" t="str">
        <f>IFERROR(VLOOKUP($I73,'Institution Evaluation'!$A$55:$F$345,6,0),IFERROR(VLOOKUP($I73,'Privacy Analyst Evaluation'!$A$46:$F$120,6,0),""))&amp;""</f>
        <v/>
      </c>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row>
    <row r="74" spans="1:338" ht="405" x14ac:dyDescent="0.3">
      <c r="A74" s="205">
        <f>IFERROR(IF($A73+1&gt;'(backend scoring)'!$T$335,"",$A73+1),"")</f>
        <v>50</v>
      </c>
      <c r="B74" s="205" t="str">
        <f>_xlfn.XLOOKUP($A74,'(backend scoring)'!$V$2:$V$333,'(backend scoring)'!$A$2:$A$333,"")</f>
        <v>PPPR-01</v>
      </c>
      <c r="C74" s="205" t="str">
        <f>IFERROR(VLOOKUP($B74,'Institution Evaluation'!$A$55:$F$345,2,0),IFERROR(VLOOKUP($B74,'Privacy Analyst Evaluation'!$A$46:$F$120,2,0),""))&amp;""</f>
        <v>Do you have a documented patch management process?*</v>
      </c>
      <c r="D74" s="205" t="str">
        <f>IFERROR(VLOOKUP($B74,'Institution Evaluation'!$A$55:$F$345,3,0),IFERROR(VLOOKUP($B74,'Privacy Analyst Evaluation'!$A$46:$F$120,3,0),""))&amp;""</f>
        <v>Yes</v>
      </c>
      <c r="E74" s="205" t="str">
        <f>IFERROR(VLOOKUP($B74,'Institution Evaluation'!$A$55:$F$345,4,0),IFERROR(VLOOKUP($B74,'Privacy Analyst Evaluation'!$A$46:$F$120,4,0),""))&amp;""</f>
        <v>Yes. Preservica has an established Vulnerability and Patch Management Policy covering the identification, assessment, mitigation and closure of vulnerabilities. The policy requires that vulnerabilities be mitigated, either through a supplied patch or through a compensating control, within a timeline commensurate with the risk the vulnerability poses to the affected information system as assessed by Preservica's Information Security team. The policy is within the scope of Preservica's ISO/IEC 27001:2022 certification and is audited as part of Preservica's SOC 2 Type II report.</v>
      </c>
      <c r="F74" s="205" t="str">
        <f>IFERROR(VLOOKUP($B74,'Institution Evaluation'!$A$55:$F$345,6,0),IFERROR(VLOOKUP($B74,'Privacy Analyst Evaluation'!$A$46:$F$120,6,0),""))&amp;""</f>
        <v/>
      </c>
      <c r="G74" s="206"/>
      <c r="H74" s="205" t="str">
        <f>IFERROR(IF($H73+1&gt;'(backend scoring)'!$Q$335,"",$H73+1),"")</f>
        <v/>
      </c>
      <c r="I74" s="205" t="str">
        <f>_xlfn.XLOOKUP($H74,'(backend scoring)'!$S$2:$S$333,'(backend scoring)'!$A$2:$A$333,"")</f>
        <v/>
      </c>
      <c r="J74" s="205" t="str">
        <f>IFERROR(VLOOKUP($I74,'Institution Evaluation'!$A$55:$F$345,2,0),IFERROR(VLOOKUP($I74,'Privacy Analyst Evaluation'!$A$46:$F$120,2,0),""))</f>
        <v/>
      </c>
      <c r="K74" s="205" t="str">
        <f>IFERROR(VLOOKUP($I74,'Institution Evaluation'!$A$55:$F$345,3,0),IFERROR(VLOOKUP($I74,'Privacy Analyst Evaluation'!$A$46:$F$120,3,0),""))&amp;""</f>
        <v/>
      </c>
      <c r="L74" s="205" t="str">
        <f>IFERROR(VLOOKUP($I74,'Institution Evaluation'!$A$55:$F$345,4,0),IFERROR(VLOOKUP($I74,'Privacy Analyst Evaluation'!$A$46:$F$120,4,0),""))&amp;""</f>
        <v/>
      </c>
      <c r="M74" s="205" t="str">
        <f>IFERROR(VLOOKUP($I74,'Institution Evaluation'!$A$55:$F$345,6,0),IFERROR(VLOOKUP($I74,'Privacy Analyst Evaluation'!$A$46:$F$120,6,0),""))&amp;""</f>
        <v/>
      </c>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row>
    <row r="75" spans="1:338" ht="409.5" x14ac:dyDescent="0.3">
      <c r="A75" s="205">
        <f>IFERROR(IF($A74+1&gt;'(backend scoring)'!$T$335,"",$A74+1),"")</f>
        <v>51</v>
      </c>
      <c r="B75" s="205" t="str">
        <f>_xlfn.XLOOKUP($A75,'(backend scoring)'!$V$2:$V$333,'(backend scoring)'!$A$2:$A$333,"")</f>
        <v>PPPR-02</v>
      </c>
      <c r="C75" s="205" t="str">
        <f>IFERROR(VLOOKUP($B75,'Institution Evaluation'!$A$55:$F$345,2,0),IFERROR(VLOOKUP($B75,'Privacy Analyst Evaluation'!$A$46:$F$120,2,0),""))&amp;""</f>
        <v>Can your organization comply with institutional policies on privacy and data protection with regard to users of institutional systems, if required?*</v>
      </c>
      <c r="D75" s="205" t="str">
        <f>IFERROR(VLOOKUP($B75,'Institution Evaluation'!$A$55:$F$345,3,0),IFERROR(VLOOKUP($B75,'Privacy Analyst Evaluation'!$A$46:$F$120,3,0),""))&amp;""</f>
        <v>Yes</v>
      </c>
      <c r="E75" s="205" t="str">
        <f>IFERROR(VLOOKUP($B75,'Institution Evaluation'!$A$55:$F$345,4,0),IFERROR(VLOOKUP($B75,'Privacy Analyst Evaluation'!$A$46:$F$120,4,0),""))&amp;""</f>
        <v>Preservica will consider institutional policies on privacy and data protection subject to contract negotiation, and will enter into a Data Processing Agreement subject to legal review. Agreements based on GDPR or UK GDPR Standard Contractual Clauses, or similar recognised frameworks, are more readily agreed than bespoke templates. In any agreement Preservica must be designated as Processor, with responsibilities aligned to the applicable legislation for that designation. Because Preservica does not determine or control the specific categories of personal data a customer chooses to process, Preservica is generally unable to complete unilaterally those sections of an agreement that require exact categories of data, data subjects or processing activities; completing a Data Processing Agreement is therefore typically a collaborative exercise between Preservica and the customer. Preservica will also complete a customer's own vendor risk assessments, security questionnaires or similar attestations of compliance on reasonable request, subject to the terms of the agreement.</v>
      </c>
      <c r="F75" s="205" t="str">
        <f>IFERROR(VLOOKUP($B75,'Institution Evaluation'!$A$55:$F$345,6,0),IFERROR(VLOOKUP($B75,'Privacy Analyst Evaluation'!$A$46:$F$120,6,0),""))&amp;""</f>
        <v/>
      </c>
      <c r="G75" s="206"/>
      <c r="H75" s="205" t="str">
        <f>IFERROR(IF($H74+1&gt;'(backend scoring)'!$Q$335,"",$H74+1),"")</f>
        <v/>
      </c>
      <c r="I75" s="205" t="str">
        <f>_xlfn.XLOOKUP($H75,'(backend scoring)'!$S$2:$S$333,'(backend scoring)'!$A$2:$A$333,"")</f>
        <v/>
      </c>
      <c r="J75" s="205" t="str">
        <f>IFERROR(VLOOKUP($I75,'Institution Evaluation'!$A$55:$F$345,2,0),IFERROR(VLOOKUP($I75,'Privacy Analyst Evaluation'!$A$46:$F$120,2,0),""))</f>
        <v/>
      </c>
      <c r="K75" s="205" t="str">
        <f>IFERROR(VLOOKUP($I75,'Institution Evaluation'!$A$55:$F$345,3,0),IFERROR(VLOOKUP($I75,'Privacy Analyst Evaluation'!$A$46:$F$120,3,0),""))&amp;""</f>
        <v/>
      </c>
      <c r="L75" s="205" t="str">
        <f>IFERROR(VLOOKUP($I75,'Institution Evaluation'!$A$55:$F$345,4,0),IFERROR(VLOOKUP($I75,'Privacy Analyst Evaluation'!$A$46:$F$120,4,0),""))&amp;""</f>
        <v/>
      </c>
      <c r="M75" s="205" t="str">
        <f>IFERROR(VLOOKUP($I75,'Institution Evaluation'!$A$55:$F$345,6,0),IFERROR(VLOOKUP($I75,'Privacy Analyst Evaluation'!$A$46:$F$120,6,0),""))&amp;""</f>
        <v/>
      </c>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row>
    <row r="76" spans="1:338" ht="90" x14ac:dyDescent="0.3">
      <c r="A76" s="205">
        <f>IFERROR(IF($A75+1&gt;'(backend scoring)'!$T$335,"",$A75+1),"")</f>
        <v>52</v>
      </c>
      <c r="B76" s="205" t="str">
        <f>_xlfn.XLOOKUP($A76,'(backend scoring)'!$V$2:$V$333,'(backend scoring)'!$A$2:$A$333,"")</f>
        <v>PPPR-03</v>
      </c>
      <c r="C76" s="205" t="str">
        <f>IFERROR(VLOOKUP($B76,'Institution Evaluation'!$A$55:$F$345,2,0),IFERROR(VLOOKUP($B76,'Privacy Analyst Evaluation'!$A$46:$F$120,2,0),""))&amp;""</f>
        <v>Is your company subject to the institution's geographic region's laws and regulations?*</v>
      </c>
      <c r="D76" s="205" t="str">
        <f>IFERROR(VLOOKUP($B76,'Institution Evaluation'!$A$55:$F$345,3,0),IFERROR(VLOOKUP($B76,'Privacy Analyst Evaluation'!$A$46:$F$120,3,0),""))&amp;""</f>
        <v>Yes</v>
      </c>
      <c r="E76" s="205" t="str">
        <f>IFERROR(VLOOKUP($B76,'Institution Evaluation'!$A$55:$F$345,4,0),IFERROR(VLOOKUP($B76,'Privacy Analyst Evaluation'!$A$46:$F$120,4,0),""))&amp;""</f>
        <v>Preservica will comply with applicable laws relevant to the services. Insititutions may negotiate jurisidction on Enterprise and above.</v>
      </c>
      <c r="F76" s="205" t="str">
        <f>IFERROR(VLOOKUP($B76,'Institution Evaluation'!$A$55:$F$345,6,0),IFERROR(VLOOKUP($B76,'Privacy Analyst Evaluation'!$A$46:$F$120,6,0),""))&amp;""</f>
        <v/>
      </c>
      <c r="G76" s="206"/>
      <c r="H76" s="205" t="str">
        <f>IFERROR(IF($H75+1&gt;'(backend scoring)'!$Q$335,"",$H75+1),"")</f>
        <v/>
      </c>
      <c r="I76" s="205" t="str">
        <f>_xlfn.XLOOKUP($H76,'(backend scoring)'!$S$2:$S$333,'(backend scoring)'!$A$2:$A$333,"")</f>
        <v/>
      </c>
      <c r="J76" s="205" t="str">
        <f>IFERROR(VLOOKUP($I76,'Institution Evaluation'!$A$55:$F$345,2,0),IFERROR(VLOOKUP($I76,'Privacy Analyst Evaluation'!$A$46:$F$120,2,0),""))</f>
        <v/>
      </c>
      <c r="K76" s="205" t="str">
        <f>IFERROR(VLOOKUP($I76,'Institution Evaluation'!$A$55:$F$345,3,0),IFERROR(VLOOKUP($I76,'Privacy Analyst Evaluation'!$A$46:$F$120,3,0),""))&amp;""</f>
        <v/>
      </c>
      <c r="L76" s="205" t="str">
        <f>IFERROR(VLOOKUP($I76,'Institution Evaluation'!$A$55:$F$345,4,0),IFERROR(VLOOKUP($I76,'Privacy Analyst Evaluation'!$A$46:$F$120,4,0),""))&amp;""</f>
        <v/>
      </c>
      <c r="M76" s="205" t="str">
        <f>IFERROR(VLOOKUP($I76,'Institution Evaluation'!$A$55:$F$345,6,0),IFERROR(VLOOKUP($I76,'Privacy Analyst Evaluation'!$A$46:$F$120,6,0),""))&amp;""</f>
        <v/>
      </c>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row>
    <row r="77" spans="1:338" ht="409.5" x14ac:dyDescent="0.3">
      <c r="A77" s="205">
        <f>IFERROR(IF($A76+1&gt;'(backend scoring)'!$T$335,"",$A76+1),"")</f>
        <v>53</v>
      </c>
      <c r="B77" s="205" t="str">
        <f>_xlfn.XLOOKUP($A77,'(backend scoring)'!$V$2:$V$333,'(backend scoring)'!$A$2:$A$333,"")</f>
        <v>VULN-01</v>
      </c>
      <c r="C77" s="205" t="str">
        <f>IFERROR(VLOOKUP($B77,'Institution Evaluation'!$A$55:$F$345,2,0),IFERROR(VLOOKUP($B77,'Privacy Analyst Evaluation'!$A$46:$F$120,2,0),""))&amp;""</f>
        <v>Are your systems and applications scanned with an authenticated user account for vulnerabilities (that are remediated) prior to new releases?*</v>
      </c>
      <c r="D77" s="205" t="str">
        <f>IFERROR(VLOOKUP($B77,'Institution Evaluation'!$A$55:$F$345,3,0),IFERROR(VLOOKUP($B77,'Privacy Analyst Evaluation'!$A$46:$F$120,3,0),""))&amp;""</f>
        <v>Yes</v>
      </c>
      <c r="E77" s="205" t="str">
        <f>IFERROR(VLOOKUP($B77,'Institution Evaluation'!$A$55:$F$345,4,0),IFERROR(VLOOKUP($B77,'Privacy Analyst Evaluation'!$A$46:$F$120,4,0),""))&amp;""</f>
        <v>Static Application Security Testing, including dependency analysis, is integrated into developer IDEs and enforced at every pull request; no source code change is accepted into the main branch without both a second-person review and a static analysis review for vulnerabilities, licensing issues and hard-coded secrets. Dynamic Application Security Testing is performed as a release gate against every release candidate, and vulnerability scans are performed as an authenticated user. Infrastructure vulnerability scanning runs continuously and is reviewed at least monthly. Identified vulnerabilities are assessed and remediated in line with the risk they pose, as determined by Preservica's Information Security team, taking into account the vendor's own rating including any CVSS score, the applicability and configuration of the affected component within Preservica's environment, and any existing compensating controls.</v>
      </c>
      <c r="F77" s="205" t="str">
        <f>IFERROR(VLOOKUP($B77,'Institution Evaluation'!$A$55:$F$345,6,0),IFERROR(VLOOKUP($B77,'Privacy Analyst Evaluation'!$A$46:$F$120,6,0),""))&amp;""</f>
        <v/>
      </c>
      <c r="G77" s="206"/>
      <c r="H77" s="205" t="str">
        <f>IFERROR(IF($H76+1&gt;'(backend scoring)'!$Q$335,"",$H76+1),"")</f>
        <v/>
      </c>
      <c r="I77" s="205" t="str">
        <f>_xlfn.XLOOKUP($H77,'(backend scoring)'!$S$2:$S$333,'(backend scoring)'!$A$2:$A$333,"")</f>
        <v/>
      </c>
      <c r="J77" s="205" t="str">
        <f>IFERROR(VLOOKUP($I77,'Institution Evaluation'!$A$55:$F$345,2,0),IFERROR(VLOOKUP($I77,'Privacy Analyst Evaluation'!$A$46:$F$120,2,0),""))</f>
        <v/>
      </c>
      <c r="K77" s="205" t="str">
        <f>IFERROR(VLOOKUP($I77,'Institution Evaluation'!$A$55:$F$345,3,0),IFERROR(VLOOKUP($I77,'Privacy Analyst Evaluation'!$A$46:$F$120,3,0),""))&amp;""</f>
        <v/>
      </c>
      <c r="L77" s="205" t="str">
        <f>IFERROR(VLOOKUP($I77,'Institution Evaluation'!$A$55:$F$345,4,0),IFERROR(VLOOKUP($I77,'Privacy Analyst Evaluation'!$A$46:$F$120,4,0),""))&amp;""</f>
        <v/>
      </c>
      <c r="M77" s="205" t="str">
        <f>IFERROR(VLOOKUP($I77,'Institution Evaluation'!$A$55:$F$345,6,0),IFERROR(VLOOKUP($I77,'Privacy Analyst Evaluation'!$A$46:$F$120,6,0),""))&amp;""</f>
        <v/>
      </c>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row>
    <row r="78" spans="1:338" ht="409.5" x14ac:dyDescent="0.3">
      <c r="A78" s="205">
        <f>IFERROR(IF($A77+1&gt;'(backend scoring)'!$T$335,"",$A77+1),"")</f>
        <v>54</v>
      </c>
      <c r="B78" s="205" t="str">
        <f>_xlfn.XLOOKUP($A78,'(backend scoring)'!$V$2:$V$333,'(backend scoring)'!$A$2:$A$333,"")</f>
        <v>VULN-02</v>
      </c>
      <c r="C78" s="205" t="str">
        <f>IFERROR(VLOOKUP($B78,'Institution Evaluation'!$A$55:$F$345,2,0),IFERROR(VLOOKUP($B78,'Privacy Analyst Evaluation'!$A$46:$F$120,2,0),""))&amp;""</f>
        <v>Will you provide results of application and system vulnerability scans to the institution?*</v>
      </c>
      <c r="D78" s="205" t="str">
        <f>IFERROR(VLOOKUP($B78,'Institution Evaluation'!$A$55:$F$345,3,0),IFERROR(VLOOKUP($B78,'Privacy Analyst Evaluation'!$A$46:$F$120,3,0),""))&amp;""</f>
        <v>Yes</v>
      </c>
      <c r="E78" s="205" t="str">
        <f>IFERROR(VLOOKUP($B78,'Institution Evaluation'!$A$55:$F$345,4,0),IFERROR(VLOOKUP($B78,'Privacy Analyst Evaluation'!$A$46:$F$120,4,0),""))&amp;""</f>
        <v>Preservica provides the summary report of its independent annual penetration test, conducted by a CREST-certified third party across application, API and infrastructure layers, together with a cover letter from Preservica's Chief Information Security Officer summarising the current status of findings. Existing customers may request this directly; prospective customers will be asked to sign a non-disclosure agreement first. Requests should be sent to Information.Security@preservica.com. Preservica's SOC 2 Type II report, covering an audit period running from October to September each year, is also available to customers on request, and certification documentation is published at https://preservica.com/trust-center. Raw output from internal scanning tooling is not released.</v>
      </c>
      <c r="F78" s="205" t="str">
        <f>IFERROR(VLOOKUP($B78,'Institution Evaluation'!$A$55:$F$345,6,0),IFERROR(VLOOKUP($B78,'Privacy Analyst Evaluation'!$A$46:$F$120,6,0),""))&amp;""</f>
        <v/>
      </c>
      <c r="G78" s="206"/>
      <c r="H78" s="205" t="str">
        <f>IFERROR(IF($H77+1&gt;'(backend scoring)'!$Q$335,"",$H77+1),"")</f>
        <v/>
      </c>
      <c r="I78" s="205" t="str">
        <f>_xlfn.XLOOKUP($H78,'(backend scoring)'!$S$2:$S$333,'(backend scoring)'!$A$2:$A$333,"")</f>
        <v/>
      </c>
      <c r="J78" s="205" t="str">
        <f>IFERROR(VLOOKUP($I78,'Institution Evaluation'!$A$55:$F$345,2,0),IFERROR(VLOOKUP($I78,'Privacy Analyst Evaluation'!$A$46:$F$120,2,0),""))</f>
        <v/>
      </c>
      <c r="K78" s="205" t="str">
        <f>IFERROR(VLOOKUP($I78,'Institution Evaluation'!$A$55:$F$345,3,0),IFERROR(VLOOKUP($I78,'Privacy Analyst Evaluation'!$A$46:$F$120,3,0),""))&amp;""</f>
        <v/>
      </c>
      <c r="L78" s="205" t="str">
        <f>IFERROR(VLOOKUP($I78,'Institution Evaluation'!$A$55:$F$345,4,0),IFERROR(VLOOKUP($I78,'Privacy Analyst Evaluation'!$A$46:$F$120,4,0),""))&amp;""</f>
        <v/>
      </c>
      <c r="M78" s="205" t="str">
        <f>IFERROR(VLOOKUP($I78,'Institution Evaluation'!$A$55:$F$345,6,0),IFERROR(VLOOKUP($I78,'Privacy Analyst Evaluation'!$A$46:$F$120,6,0),""))&amp;""</f>
        <v/>
      </c>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row>
    <row r="79" spans="1:338" ht="409.5" x14ac:dyDescent="0.3">
      <c r="A79" s="205">
        <f>IFERROR(IF($A78+1&gt;'(backend scoring)'!$T$335,"",$A78+1),"")</f>
        <v>55</v>
      </c>
      <c r="B79" s="205" t="str">
        <f>_xlfn.XLOOKUP($A79,'(backend scoring)'!$V$2:$V$333,'(backend scoring)'!$A$2:$A$333,"")</f>
        <v>VULN-03</v>
      </c>
      <c r="C79" s="205" t="str">
        <f>IFERROR(VLOOKUP($B79,'Institution Evaluation'!$A$55:$F$345,2,0),IFERROR(VLOOKUP($B79,'Privacy Analyst Evaluation'!$A$46:$F$120,2,0),""))&amp;""</f>
        <v>Will you allow the institution to perform its own vulnerability testing and/or scanning of your systems and/or application, provided that testing is performed at a mutually agreed upon time and date?*</v>
      </c>
      <c r="D79" s="205" t="str">
        <f>IFERROR(VLOOKUP($B79,'Institution Evaluation'!$A$55:$F$345,3,0),IFERROR(VLOOKUP($B79,'Privacy Analyst Evaluation'!$A$46:$F$120,3,0),""))&amp;""</f>
        <v>Yes</v>
      </c>
      <c r="E79" s="205" t="str">
        <f>IFERROR(VLOOKUP($B79,'Institution Evaluation'!$A$55:$F$345,4,0),IFERROR(VLOOKUP($B79,'Privacy Analyst Evaluation'!$A$46:$F$120,4,0),""))&amp;""</f>
        <v>Customer-initiated security testing is available to institutions on dedicated-infrastructure editions — Enterprise Plus and Enterprise Plus with Performance Pack. It is not permitted on multi-tenant environments under any circumstances, because testing activity cannot be scoped so as to protect the other customers sharing that infrastructure. Eligible institutions submit a Customer Security Testing Request and must receive written approval from Preservica's Information Security team before testing commences. The form captures the specific scanning targets and scanning source addresses, at least two proposed discrete and time-bounded testing windows (typically one to five business days), and the type and depth of testing requested. A minimum of 30 days' notice is required before the earliest proposed start date, so that Preservica can coordinate with its security operations centre, Cloud Operations team, network operators and cloud service providers — without that coordination, legitimate scanning traffic could trigger security alerts or automated blocking and disrupt the test or the service. An institution may appoint a third-party security firm to test on its behalf, provided the firm is identified in the request and is subject to the same scope, source and timing constraints. Continuous or open-ended scanning, denial-of-service testing, and any expansion beyond the approved targets, sources and time window are not permitted. Results must be shared with Preservica's Information Security team at the conclusion of testing, and both parties jointly review findings before remediation timelines are discussed. Requests should be sent to Information.Security@preservica.com.</v>
      </c>
      <c r="F79" s="205" t="str">
        <f>IFERROR(VLOOKUP($B79,'Institution Evaluation'!$A$55:$F$345,6,0),IFERROR(VLOOKUP($B79,'Privacy Analyst Evaluation'!$A$46:$F$120,6,0),""))&amp;""</f>
        <v/>
      </c>
      <c r="G79" s="206"/>
      <c r="H79" s="205" t="str">
        <f>IFERROR(IF($H78+1&gt;'(backend scoring)'!$Q$335,"",$H78+1),"")</f>
        <v/>
      </c>
      <c r="I79" s="205" t="str">
        <f>_xlfn.XLOOKUP($H79,'(backend scoring)'!$S$2:$S$333,'(backend scoring)'!$A$2:$A$333,"")</f>
        <v/>
      </c>
      <c r="J79" s="205" t="str">
        <f>IFERROR(VLOOKUP($I79,'Institution Evaluation'!$A$55:$F$345,2,0),IFERROR(VLOOKUP($I79,'Privacy Analyst Evaluation'!$A$46:$F$120,2,0),""))</f>
        <v/>
      </c>
      <c r="K79" s="205" t="str">
        <f>IFERROR(VLOOKUP($I79,'Institution Evaluation'!$A$55:$F$345,3,0),IFERROR(VLOOKUP($I79,'Privacy Analyst Evaluation'!$A$46:$F$120,3,0),""))&amp;""</f>
        <v/>
      </c>
      <c r="L79" s="205" t="str">
        <f>IFERROR(VLOOKUP($I79,'Institution Evaluation'!$A$55:$F$345,4,0),IFERROR(VLOOKUP($I79,'Privacy Analyst Evaluation'!$A$46:$F$120,4,0),""))&amp;""</f>
        <v/>
      </c>
      <c r="M79" s="205" t="str">
        <f>IFERROR(VLOOKUP($I79,'Institution Evaluation'!$A$55:$F$345,6,0),IFERROR(VLOOKUP($I79,'Privacy Analyst Evaluation'!$A$46:$F$120,6,0),""))&amp;""</f>
        <v/>
      </c>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row>
    <row r="80" spans="1:338" ht="90" x14ac:dyDescent="0.3">
      <c r="A80" s="205">
        <f>IFERROR(IF($A79+1&gt;'(backend scoring)'!$T$335,"",$A79+1),"")</f>
        <v>56</v>
      </c>
      <c r="B80" s="205" t="str">
        <f>_xlfn.XLOOKUP($A80,'(backend scoring)'!$V$2:$V$333,'(backend scoring)'!$A$2:$A$333,"")</f>
        <v>HIPA-01</v>
      </c>
      <c r="C80" s="205" t="str">
        <f>IFERROR(VLOOKUP($B80,'Institution Evaluation'!$A$55:$F$345,2,0),IFERROR(VLOOKUP($B80,'Privacy Analyst Evaluation'!$A$46:$F$120,2,0),""))&amp;""</f>
        <v>Do your workforce members receive regular training related to the Health Insurance Portability and Accountability Act (HIPAA) Privacy and Security Rules and the HITECH Act?*</v>
      </c>
      <c r="D80" s="205" t="str">
        <f>IFERROR(VLOOKUP($B80,'Institution Evaluation'!$A$55:$F$345,3,0),IFERROR(VLOOKUP($B80,'Privacy Analyst Evaluation'!$A$46:$F$120,3,0),""))&amp;""</f>
        <v/>
      </c>
      <c r="E80" s="205" t="str">
        <f>IFERROR(VLOOKUP($B80,'Institution Evaluation'!$A$55:$F$345,4,0),IFERROR(VLOOKUP($B80,'Privacy Analyst Evaluation'!$A$46:$F$120,4,0),""))&amp;""</f>
        <v>This question does not apply.</v>
      </c>
      <c r="F80" s="205" t="str">
        <f>IFERROR(VLOOKUP($B80,'Institution Evaluation'!$A$55:$F$345,6,0),IFERROR(VLOOKUP($B80,'Privacy Analyst Evaluation'!$A$46:$F$120,6,0),""))&amp;""</f>
        <v/>
      </c>
      <c r="G80" s="206"/>
      <c r="H80" s="205" t="str">
        <f>IFERROR(IF($H79+1&gt;'(backend scoring)'!$Q$335,"",$H79+1),"")</f>
        <v/>
      </c>
      <c r="I80" s="205" t="str">
        <f>_xlfn.XLOOKUP($H80,'(backend scoring)'!$S$2:$S$333,'(backend scoring)'!$A$2:$A$333,"")</f>
        <v/>
      </c>
      <c r="J80" s="205" t="str">
        <f>IFERROR(VLOOKUP($I80,'Institution Evaluation'!$A$55:$F$345,2,0),IFERROR(VLOOKUP($I80,'Privacy Analyst Evaluation'!$A$46:$F$120,2,0),""))</f>
        <v/>
      </c>
      <c r="K80" s="205" t="str">
        <f>IFERROR(VLOOKUP($I80,'Institution Evaluation'!$A$55:$F$345,3,0),IFERROR(VLOOKUP($I80,'Privacy Analyst Evaluation'!$A$46:$F$120,3,0),""))&amp;""</f>
        <v/>
      </c>
      <c r="L80" s="205" t="str">
        <f>IFERROR(VLOOKUP($I80,'Institution Evaluation'!$A$55:$F$345,4,0),IFERROR(VLOOKUP($I80,'Privacy Analyst Evaluation'!$A$46:$F$120,4,0),""))&amp;""</f>
        <v/>
      </c>
      <c r="M80" s="205" t="str">
        <f>IFERROR(VLOOKUP($I80,'Institution Evaluation'!$A$55:$F$345,6,0),IFERROR(VLOOKUP($I80,'Privacy Analyst Evaluation'!$A$46:$F$120,6,0),""))&amp;""</f>
        <v/>
      </c>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row>
    <row r="81" spans="1:338" ht="30" x14ac:dyDescent="0.3">
      <c r="A81" s="205">
        <f>IFERROR(IF($A80+1&gt;'(backend scoring)'!$T$335,"",$A80+1),"")</f>
        <v>57</v>
      </c>
      <c r="B81" s="205" t="str">
        <f>_xlfn.XLOOKUP($A81,'(backend scoring)'!$V$2:$V$333,'(backend scoring)'!$A$2:$A$333,"")</f>
        <v>HIPA-02</v>
      </c>
      <c r="C81" s="205" t="str">
        <f>IFERROR(VLOOKUP($B81,'Institution Evaluation'!$A$55:$F$345,2,0),IFERROR(VLOOKUP($B81,'Privacy Analyst Evaluation'!$A$46:$F$120,2,0),""))&amp;""</f>
        <v>Have you identified areas of risk?*</v>
      </c>
      <c r="D81" s="205" t="str">
        <f>IFERROR(VLOOKUP($B81,'Institution Evaluation'!$A$55:$F$345,3,0),IFERROR(VLOOKUP($B81,'Privacy Analyst Evaluation'!$A$46:$F$120,3,0),""))&amp;""</f>
        <v/>
      </c>
      <c r="E81" s="205" t="str">
        <f>IFERROR(VLOOKUP($B81,'Institution Evaluation'!$A$55:$F$345,4,0),IFERROR(VLOOKUP($B81,'Privacy Analyst Evaluation'!$A$46:$F$120,4,0),""))&amp;""</f>
        <v>This question does not apply.</v>
      </c>
      <c r="F81" s="205" t="str">
        <f>IFERROR(VLOOKUP($B81,'Institution Evaluation'!$A$55:$F$345,6,0),IFERROR(VLOOKUP($B81,'Privacy Analyst Evaluation'!$A$46:$F$120,6,0),""))&amp;""</f>
        <v/>
      </c>
      <c r="G81" s="206"/>
      <c r="H81" s="205" t="str">
        <f>IFERROR(IF($H80+1&gt;'(backend scoring)'!$Q$335,"",$H80+1),"")</f>
        <v/>
      </c>
      <c r="I81" s="205" t="str">
        <f>_xlfn.XLOOKUP($H81,'(backend scoring)'!$S$2:$S$333,'(backend scoring)'!$A$2:$A$333,"")</f>
        <v/>
      </c>
      <c r="J81" s="205" t="str">
        <f>IFERROR(VLOOKUP($I81,'Institution Evaluation'!$A$55:$F$345,2,0),IFERROR(VLOOKUP($I81,'Privacy Analyst Evaluation'!$A$46:$F$120,2,0),""))</f>
        <v/>
      </c>
      <c r="K81" s="205" t="str">
        <f>IFERROR(VLOOKUP($I81,'Institution Evaluation'!$A$55:$F$345,3,0),IFERROR(VLOOKUP($I81,'Privacy Analyst Evaluation'!$A$46:$F$120,3,0),""))&amp;""</f>
        <v/>
      </c>
      <c r="L81" s="205" t="str">
        <f>IFERROR(VLOOKUP($I81,'Institution Evaluation'!$A$55:$F$345,4,0),IFERROR(VLOOKUP($I81,'Privacy Analyst Evaluation'!$A$46:$F$120,4,0),""))&amp;""</f>
        <v/>
      </c>
      <c r="M81" s="205" t="str">
        <f>IFERROR(VLOOKUP($I81,'Institution Evaluation'!$A$55:$F$345,6,0),IFERROR(VLOOKUP($I81,'Privacy Analyst Evaluation'!$A$46:$F$120,6,0),""))&amp;""</f>
        <v/>
      </c>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row>
    <row r="82" spans="1:338" ht="30" x14ac:dyDescent="0.3">
      <c r="A82" s="205">
        <f>IFERROR(IF($A81+1&gt;'(backend scoring)'!$T$335,"",$A81+1),"")</f>
        <v>58</v>
      </c>
      <c r="B82" s="205" t="str">
        <f>_xlfn.XLOOKUP($A82,'(backend scoring)'!$V$2:$V$333,'(backend scoring)'!$A$2:$A$333,"")</f>
        <v>HIPA-03</v>
      </c>
      <c r="C82" s="205" t="str">
        <f>IFERROR(VLOOKUP($B82,'Institution Evaluation'!$A$55:$F$345,2,0),IFERROR(VLOOKUP($B82,'Privacy Analyst Evaluation'!$A$46:$F$120,2,0),""))&amp;""</f>
        <v>Have the relevant policies/plans been tested?*</v>
      </c>
      <c r="D82" s="205" t="str">
        <f>IFERROR(VLOOKUP($B82,'Institution Evaluation'!$A$55:$F$345,3,0),IFERROR(VLOOKUP($B82,'Privacy Analyst Evaluation'!$A$46:$F$120,3,0),""))&amp;""</f>
        <v/>
      </c>
      <c r="E82" s="205" t="str">
        <f>IFERROR(VLOOKUP($B82,'Institution Evaluation'!$A$55:$F$345,4,0),IFERROR(VLOOKUP($B82,'Privacy Analyst Evaluation'!$A$46:$F$120,4,0),""))&amp;""</f>
        <v>This question does not apply.</v>
      </c>
      <c r="F82" s="205" t="str">
        <f>IFERROR(VLOOKUP($B82,'Institution Evaluation'!$A$55:$F$345,6,0),IFERROR(VLOOKUP($B82,'Privacy Analyst Evaluation'!$A$46:$F$120,6,0),""))&amp;""</f>
        <v/>
      </c>
      <c r="G82" s="206"/>
      <c r="H82" s="205" t="str">
        <f>IFERROR(IF($H81+1&gt;'(backend scoring)'!$Q$335,"",$H81+1),"")</f>
        <v/>
      </c>
      <c r="I82" s="205" t="str">
        <f>_xlfn.XLOOKUP($H82,'(backend scoring)'!$S$2:$S$333,'(backend scoring)'!$A$2:$A$333,"")</f>
        <v/>
      </c>
      <c r="J82" s="205" t="str">
        <f>IFERROR(VLOOKUP($I82,'Institution Evaluation'!$A$55:$F$345,2,0),IFERROR(VLOOKUP($I82,'Privacy Analyst Evaluation'!$A$46:$F$120,2,0),""))</f>
        <v/>
      </c>
      <c r="K82" s="205" t="str">
        <f>IFERROR(VLOOKUP($I82,'Institution Evaluation'!$A$55:$F$345,3,0),IFERROR(VLOOKUP($I82,'Privacy Analyst Evaluation'!$A$46:$F$120,3,0),""))&amp;""</f>
        <v/>
      </c>
      <c r="L82" s="205" t="str">
        <f>IFERROR(VLOOKUP($I82,'Institution Evaluation'!$A$55:$F$345,4,0),IFERROR(VLOOKUP($I82,'Privacy Analyst Evaluation'!$A$46:$F$120,4,0),""))&amp;""</f>
        <v/>
      </c>
      <c r="M82" s="205" t="str">
        <f>IFERROR(VLOOKUP($I82,'Institution Evaluation'!$A$55:$F$345,6,0),IFERROR(VLOOKUP($I82,'Privacy Analyst Evaluation'!$A$46:$F$120,6,0),""))&amp;""</f>
        <v/>
      </c>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row>
    <row r="83" spans="1:338" ht="75" x14ac:dyDescent="0.3">
      <c r="A83" s="205">
        <f>IFERROR(IF($A82+1&gt;'(backend scoring)'!$T$335,"",$A82+1),"")</f>
        <v>59</v>
      </c>
      <c r="B83" s="205" t="str">
        <f>_xlfn.XLOOKUP($A83,'(backend scoring)'!$V$2:$V$333,'(backend scoring)'!$A$2:$A$333,"")</f>
        <v>HIPA-04</v>
      </c>
      <c r="C83" s="205" t="str">
        <f>IFERROR(VLOOKUP($B83,'Institution Evaluation'!$A$55:$F$345,2,0),IFERROR(VLOOKUP($B83,'Privacy Analyst Evaluation'!$A$46:$F$120,2,0),""))&amp;""</f>
        <v>Have you entered into a Business Associate Agreements with all subcontractors who may have access to protected health information (PHI)?*</v>
      </c>
      <c r="D83" s="205" t="str">
        <f>IFERROR(VLOOKUP($B83,'Institution Evaluation'!$A$55:$F$345,3,0),IFERROR(VLOOKUP($B83,'Privacy Analyst Evaluation'!$A$46:$F$120,3,0),""))&amp;""</f>
        <v/>
      </c>
      <c r="E83" s="205" t="str">
        <f>IFERROR(VLOOKUP($B83,'Institution Evaluation'!$A$55:$F$345,4,0),IFERROR(VLOOKUP($B83,'Privacy Analyst Evaluation'!$A$46:$F$120,4,0),""))&amp;""</f>
        <v>This question does not apply.</v>
      </c>
      <c r="F83" s="205" t="str">
        <f>IFERROR(VLOOKUP($B83,'Institution Evaluation'!$A$55:$F$345,6,0),IFERROR(VLOOKUP($B83,'Privacy Analyst Evaluation'!$A$46:$F$120,6,0),""))&amp;""</f>
        <v/>
      </c>
      <c r="G83" s="206"/>
      <c r="H83" s="205" t="str">
        <f>IFERROR(IF($H82+1&gt;'(backend scoring)'!$Q$335,"",$H82+1),"")</f>
        <v/>
      </c>
      <c r="I83" s="205" t="str">
        <f>_xlfn.XLOOKUP($H83,'(backend scoring)'!$S$2:$S$333,'(backend scoring)'!$A$2:$A$333,"")</f>
        <v/>
      </c>
      <c r="J83" s="205" t="str">
        <f>IFERROR(VLOOKUP($I83,'Institution Evaluation'!$A$55:$F$345,2,0),IFERROR(VLOOKUP($I83,'Privacy Analyst Evaluation'!$A$46:$F$120,2,0),""))</f>
        <v/>
      </c>
      <c r="K83" s="205" t="str">
        <f>IFERROR(VLOOKUP($I83,'Institution Evaluation'!$A$55:$F$345,3,0),IFERROR(VLOOKUP($I83,'Privacy Analyst Evaluation'!$A$46:$F$120,3,0),""))&amp;""</f>
        <v/>
      </c>
      <c r="L83" s="205" t="str">
        <f>IFERROR(VLOOKUP($I83,'Institution Evaluation'!$A$55:$F$345,4,0),IFERROR(VLOOKUP($I83,'Privacy Analyst Evaluation'!$A$46:$F$120,4,0),""))&amp;""</f>
        <v/>
      </c>
      <c r="M83" s="205" t="str">
        <f>IFERROR(VLOOKUP($I83,'Institution Evaluation'!$A$55:$F$345,6,0),IFERROR(VLOOKUP($I83,'Privacy Analyst Evaluation'!$A$46:$F$120,6,0),""))&amp;""</f>
        <v/>
      </c>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row>
    <row r="84" spans="1:338" ht="60" x14ac:dyDescent="0.3">
      <c r="A84" s="205">
        <f>IFERROR(IF($A83+1&gt;'(backend scoring)'!$T$335,"",$A83+1),"")</f>
        <v>60</v>
      </c>
      <c r="B84" s="205" t="str">
        <f>_xlfn.XLOOKUP($A84,'(backend scoring)'!$V$2:$V$333,'(backend scoring)'!$A$2:$A$333,"")</f>
        <v>PCID-01</v>
      </c>
      <c r="C84" s="205" t="str">
        <f>IFERROR(VLOOKUP($B84,'Institution Evaluation'!$A$55:$F$345,2,0),IFERROR(VLOOKUP($B84,'Privacy Analyst Evaluation'!$A$46:$F$120,2,0),""))&amp;""</f>
        <v>Do you have a current, executed within the past year, Attestation of Compliance (AoC) or Report on Compliance (RoC)?*</v>
      </c>
      <c r="D84" s="205" t="str">
        <f>IFERROR(VLOOKUP($B84,'Institution Evaluation'!$A$55:$F$345,3,0),IFERROR(VLOOKUP($B84,'Privacy Analyst Evaluation'!$A$46:$F$120,3,0),""))&amp;""</f>
        <v/>
      </c>
      <c r="E84" s="205" t="str">
        <f>IFERROR(VLOOKUP($B84,'Institution Evaluation'!$A$55:$F$345,4,0),IFERROR(VLOOKUP($B84,'Privacy Analyst Evaluation'!$A$46:$F$120,4,0),""))&amp;""</f>
        <v>This question does not apply.</v>
      </c>
      <c r="F84" s="205" t="str">
        <f>IFERROR(VLOOKUP($B84,'Institution Evaluation'!$A$55:$F$345,6,0),IFERROR(VLOOKUP($B84,'Privacy Analyst Evaluation'!$A$46:$F$120,6,0),""))&amp;""</f>
        <v/>
      </c>
      <c r="G84" s="206"/>
      <c r="H84" s="205" t="str">
        <f>IFERROR(IF($H83+1&gt;'(backend scoring)'!$Q$335,"",$H83+1),"")</f>
        <v/>
      </c>
      <c r="I84" s="205" t="str">
        <f>_xlfn.XLOOKUP($H84,'(backend scoring)'!$S$2:$S$333,'(backend scoring)'!$A$2:$A$333,"")</f>
        <v/>
      </c>
      <c r="J84" s="205" t="str">
        <f>IFERROR(VLOOKUP($I84,'Institution Evaluation'!$A$55:$F$345,2,0),IFERROR(VLOOKUP($I84,'Privacy Analyst Evaluation'!$A$46:$F$120,2,0),""))</f>
        <v/>
      </c>
      <c r="K84" s="205" t="str">
        <f>IFERROR(VLOOKUP($I84,'Institution Evaluation'!$A$55:$F$345,3,0),IFERROR(VLOOKUP($I84,'Privacy Analyst Evaluation'!$A$46:$F$120,3,0),""))&amp;""</f>
        <v/>
      </c>
      <c r="L84" s="205" t="str">
        <f>IFERROR(VLOOKUP($I84,'Institution Evaluation'!$A$55:$F$345,4,0),IFERROR(VLOOKUP($I84,'Privacy Analyst Evaluation'!$A$46:$F$120,4,0),""))&amp;""</f>
        <v/>
      </c>
      <c r="M84" s="205" t="str">
        <f>IFERROR(VLOOKUP($I84,'Institution Evaluation'!$A$55:$F$345,6,0),IFERROR(VLOOKUP($I84,'Privacy Analyst Evaluation'!$A$46:$F$120,6,0),""))&amp;""</f>
        <v/>
      </c>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row>
    <row r="85" spans="1:338" ht="60" x14ac:dyDescent="0.3">
      <c r="A85" s="205">
        <f>IFERROR(IF($A84+1&gt;'(backend scoring)'!$T$335,"",$A84+1),"")</f>
        <v>61</v>
      </c>
      <c r="B85" s="205" t="str">
        <f>_xlfn.XLOOKUP($A85,'(backend scoring)'!$V$2:$V$333,'(backend scoring)'!$A$2:$A$333,"")</f>
        <v>PCID-02</v>
      </c>
      <c r="C85" s="205" t="str">
        <f>IFERROR(VLOOKUP($B85,'Institution Evaluation'!$A$55:$F$345,2,0),IFERROR(VLOOKUP($B85,'Privacy Analyst Evaluation'!$A$46:$F$120,2,0),""))&amp;""</f>
        <v>Is the application listed as an approved Payment Application Data Security Standard (PA-DSS) application?*</v>
      </c>
      <c r="D85" s="205" t="str">
        <f>IFERROR(VLOOKUP($B85,'Institution Evaluation'!$A$55:$F$345,3,0),IFERROR(VLOOKUP($B85,'Privacy Analyst Evaluation'!$A$46:$F$120,3,0),""))&amp;""</f>
        <v/>
      </c>
      <c r="E85" s="205" t="str">
        <f>IFERROR(VLOOKUP($B85,'Institution Evaluation'!$A$55:$F$345,4,0),IFERROR(VLOOKUP($B85,'Privacy Analyst Evaluation'!$A$46:$F$120,4,0),""))&amp;""</f>
        <v>This question does not apply.</v>
      </c>
      <c r="F85" s="205" t="str">
        <f>IFERROR(VLOOKUP($B85,'Institution Evaluation'!$A$55:$F$345,6,0),IFERROR(VLOOKUP($B85,'Privacy Analyst Evaluation'!$A$46:$F$120,6,0),""))&amp;""</f>
        <v/>
      </c>
      <c r="G85" s="206"/>
      <c r="H85" s="205" t="str">
        <f>IFERROR(IF($H84+1&gt;'(backend scoring)'!$Q$335,"",$H84+1),"")</f>
        <v/>
      </c>
      <c r="I85" s="205" t="str">
        <f>_xlfn.XLOOKUP($H85,'(backend scoring)'!$S$2:$S$333,'(backend scoring)'!$A$2:$A$333,"")</f>
        <v/>
      </c>
      <c r="J85" s="205" t="str">
        <f>IFERROR(VLOOKUP($I85,'Institution Evaluation'!$A$55:$F$345,2,0),IFERROR(VLOOKUP($I85,'Privacy Analyst Evaluation'!$A$46:$F$120,2,0),""))</f>
        <v/>
      </c>
      <c r="K85" s="205" t="str">
        <f>IFERROR(VLOOKUP($I85,'Institution Evaluation'!$A$55:$F$345,3,0),IFERROR(VLOOKUP($I85,'Privacy Analyst Evaluation'!$A$46:$F$120,3,0),""))&amp;""</f>
        <v/>
      </c>
      <c r="L85" s="205" t="str">
        <f>IFERROR(VLOOKUP($I85,'Institution Evaluation'!$A$55:$F$345,4,0),IFERROR(VLOOKUP($I85,'Privacy Analyst Evaluation'!$A$46:$F$120,4,0),""))&amp;""</f>
        <v/>
      </c>
      <c r="M85" s="205" t="str">
        <f>IFERROR(VLOOKUP($I85,'Institution Evaluation'!$A$55:$F$345,6,0),IFERROR(VLOOKUP($I85,'Privacy Analyst Evaluation'!$A$46:$F$120,6,0),""))&amp;""</f>
        <v/>
      </c>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row>
    <row r="86" spans="1:338" ht="75" x14ac:dyDescent="0.3">
      <c r="A86" s="205">
        <f>IFERROR(IF($A85+1&gt;'(backend scoring)'!$T$335,"",$A85+1),"")</f>
        <v>62</v>
      </c>
      <c r="B86" s="205" t="str">
        <f>_xlfn.XLOOKUP($A86,'(backend scoring)'!$V$2:$V$333,'(backend scoring)'!$A$2:$A$333,"")</f>
        <v>PCID-03</v>
      </c>
      <c r="C86" s="205" t="str">
        <f>IFERROR(VLOOKUP($B86,'Institution Evaluation'!$A$55:$F$345,2,0),IFERROR(VLOOKUP($B86,'Privacy Analyst Evaluation'!$A$46:$F$120,2,0),""))&amp;""</f>
        <v>Does the system or solutions use a third party to collect, store, process, or transmit cardholder (payment/credit/debt card) data?*</v>
      </c>
      <c r="D86" s="205" t="str">
        <f>IFERROR(VLOOKUP($B86,'Institution Evaluation'!$A$55:$F$345,3,0),IFERROR(VLOOKUP($B86,'Privacy Analyst Evaluation'!$A$46:$F$120,3,0),""))&amp;""</f>
        <v/>
      </c>
      <c r="E86" s="205" t="str">
        <f>IFERROR(VLOOKUP($B86,'Institution Evaluation'!$A$55:$F$345,4,0),IFERROR(VLOOKUP($B86,'Privacy Analyst Evaluation'!$A$46:$F$120,4,0),""))&amp;""</f>
        <v>This question does not apply.</v>
      </c>
      <c r="F86" s="205" t="str">
        <f>IFERROR(VLOOKUP($B86,'Institution Evaluation'!$A$55:$F$345,6,0),IFERROR(VLOOKUP($B86,'Privacy Analyst Evaluation'!$A$46:$F$120,6,0),""))&amp;""</f>
        <v/>
      </c>
      <c r="G86" s="206"/>
      <c r="H86" s="205" t="str">
        <f>IFERROR(IF($H85+1&gt;'(backend scoring)'!$Q$335,"",$H85+1),"")</f>
        <v/>
      </c>
      <c r="I86" s="205" t="str">
        <f>_xlfn.XLOOKUP($H86,'(backend scoring)'!$S$2:$S$333,'(backend scoring)'!$A$2:$A$333,"")</f>
        <v/>
      </c>
      <c r="J86" s="205" t="str">
        <f>IFERROR(VLOOKUP($I86,'Institution Evaluation'!$A$55:$F$345,2,0),IFERROR(VLOOKUP($I86,'Privacy Analyst Evaluation'!$A$46:$F$120,2,0),""))</f>
        <v/>
      </c>
      <c r="K86" s="205" t="str">
        <f>IFERROR(VLOOKUP($I86,'Institution Evaluation'!$A$55:$F$345,3,0),IFERROR(VLOOKUP($I86,'Privacy Analyst Evaluation'!$A$46:$F$120,3,0),""))&amp;""</f>
        <v/>
      </c>
      <c r="L86" s="205" t="str">
        <f>IFERROR(VLOOKUP($I86,'Institution Evaluation'!$A$55:$F$345,4,0),IFERROR(VLOOKUP($I86,'Privacy Analyst Evaluation'!$A$46:$F$120,4,0),""))&amp;""</f>
        <v/>
      </c>
      <c r="M86" s="205" t="str">
        <f>IFERROR(VLOOKUP($I86,'Institution Evaluation'!$A$55:$F$345,6,0),IFERROR(VLOOKUP($I86,'Privacy Analyst Evaluation'!$A$46:$F$120,6,0),""))&amp;""</f>
        <v/>
      </c>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row>
    <row r="87" spans="1:338" ht="105" x14ac:dyDescent="0.3">
      <c r="A87" s="205">
        <f>IFERROR(IF($A86+1&gt;'(backend scoring)'!$T$335,"",$A86+1),"")</f>
        <v>63</v>
      </c>
      <c r="B87" s="205" t="str">
        <f>_xlfn.XLOOKUP($A87,'(backend scoring)'!$V$2:$V$333,'(backend scoring)'!$A$2:$A$333,"")</f>
        <v>PCOM-01</v>
      </c>
      <c r="C87" s="205" t="str">
        <f>IFERROR(VLOOKUP($B87,'Institution Evaluation'!$A$55:$F$345,2,0),IFERROR(VLOOKUP($B87,'Privacy Analyst Evaluation'!$A$46:$F$120,2,0),""))&amp;""</f>
        <v>Have you had a personal data breach in the past three years that involved reporting to a governmental agency, notice to individuals (including voluntary notice), or notice to another organization or institution?*</v>
      </c>
      <c r="D87" s="205" t="str">
        <f>IFERROR(VLOOKUP($B87,'Institution Evaluation'!$A$55:$F$345,3,0),IFERROR(VLOOKUP($B87,'Privacy Analyst Evaluation'!$A$46:$F$120,3,0),""))&amp;""</f>
        <v>No</v>
      </c>
      <c r="E87" s="205" t="str">
        <f>IFERROR(VLOOKUP($B87,'Institution Evaluation'!$A$55:$F$345,4,0),IFERROR(VLOOKUP($B87,'Privacy Analyst Evaluation'!$A$46:$F$120,4,0),""))&amp;""</f>
        <v/>
      </c>
      <c r="F87" s="205" t="str">
        <f>IFERROR(VLOOKUP($B87,'Institution Evaluation'!$A$55:$F$345,6,0),IFERROR(VLOOKUP($B87,'Privacy Analyst Evaluation'!$A$46:$F$120,6,0),""))&amp;""</f>
        <v/>
      </c>
      <c r="G87" s="206"/>
      <c r="H87" s="205" t="str">
        <f>IFERROR(IF($H86+1&gt;'(backend scoring)'!$Q$335,"",$H86+1),"")</f>
        <v/>
      </c>
      <c r="I87" s="205" t="str">
        <f>_xlfn.XLOOKUP($H87,'(backend scoring)'!$S$2:$S$333,'(backend scoring)'!$A$2:$A$333,"")</f>
        <v/>
      </c>
      <c r="J87" s="205" t="str">
        <f>IFERROR(VLOOKUP($I87,'Institution Evaluation'!$A$55:$F$345,2,0),IFERROR(VLOOKUP($I87,'Privacy Analyst Evaluation'!$A$46:$F$120,2,0),""))</f>
        <v/>
      </c>
      <c r="K87" s="205" t="str">
        <f>IFERROR(VLOOKUP($I87,'Institution Evaluation'!$A$55:$F$345,3,0),IFERROR(VLOOKUP($I87,'Privacy Analyst Evaluation'!$A$46:$F$120,3,0),""))&amp;""</f>
        <v/>
      </c>
      <c r="L87" s="205" t="str">
        <f>IFERROR(VLOOKUP($I87,'Institution Evaluation'!$A$55:$F$345,4,0),IFERROR(VLOOKUP($I87,'Privacy Analyst Evaluation'!$A$46:$F$120,4,0),""))&amp;""</f>
        <v/>
      </c>
      <c r="M87" s="205" t="str">
        <f>IFERROR(VLOOKUP($I87,'Institution Evaluation'!$A$55:$F$345,6,0),IFERROR(VLOOKUP($I87,'Privacy Analyst Evaluation'!$A$46:$F$120,6,0),""))&amp;""</f>
        <v/>
      </c>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row>
    <row r="88" spans="1:338" ht="409.5" x14ac:dyDescent="0.3">
      <c r="A88" s="205">
        <f>IFERROR(IF($A87+1&gt;'(backend scoring)'!$T$335,"",$A87+1),"")</f>
        <v>64</v>
      </c>
      <c r="B88" s="205" t="str">
        <f>_xlfn.XLOOKUP($A88,'(backend scoring)'!$V$2:$V$333,'(backend scoring)'!$A$2:$A$333,"")</f>
        <v>PTHP-01</v>
      </c>
      <c r="C88" s="205" t="str">
        <f>IFERROR(VLOOKUP($B88,'Institution Evaluation'!$A$55:$F$345,2,0),IFERROR(VLOOKUP($B88,'Privacy Analyst Evaluation'!$A$46:$F$120,2,0),""))&amp;""</f>
        <v>Do you have contractual agreements with third parties that require them to maintain standards and to comply with all regulatory requirements?*</v>
      </c>
      <c r="D88" s="205" t="str">
        <f>IFERROR(VLOOKUP($B88,'Institution Evaluation'!$A$55:$F$345,3,0),IFERROR(VLOOKUP($B88,'Privacy Analyst Evaluation'!$A$46:$F$120,3,0),""))&amp;""</f>
        <v>Yes</v>
      </c>
      <c r="E88" s="205" t="str">
        <f>IFERROR(VLOOKUP($B88,'Institution Evaluation'!$A$55:$F$345,4,0),IFERROR(VLOOKUP($B88,'Privacy Analyst Evaluation'!$A$46:$F$120,4,0),""))&amp;""</f>
        <v>Preservica's sub-processors are AWS or Microsoft Azure, as specified in the institution's Order Form, together with Cloudflare for Professional edition and above. Preservica accepts responsibility for its sub-processors under its standard Terms and Conditions. Supplier arrangements are governed by Preservica's Supplier Management Policy, which operates within its ISO/IEC 27001:2022 and ISO 9001:2015 certified management systems; certifications and independent attestations held by critical suppliers are reviewed at least annually under Preservica's Critical Supplier Review process. Sub-processors are approved and used on a region-dependent basis consistent with the institution's contracted data residency requirements. Where third parties or consultants have access to Preservica or customer information, Preservica ensures through contractual or equivalent means that they have security awareness training equal to or greater than that required of Preservica's own staff, and enrols them in Preservica's own programme where suitable training cannot be verified.</v>
      </c>
      <c r="F88" s="205" t="str">
        <f>IFERROR(VLOOKUP($B88,'Institution Evaluation'!$A$55:$F$345,6,0),IFERROR(VLOOKUP($B88,'Privacy Analyst Evaluation'!$A$46:$F$120,6,0),""))&amp;""</f>
        <v/>
      </c>
      <c r="G88" s="206"/>
      <c r="H88" s="205" t="str">
        <f>IFERROR(IF($H87+1&gt;'(backend scoring)'!$Q$335,"",$H87+1),"")</f>
        <v/>
      </c>
      <c r="I88" s="205" t="str">
        <f>_xlfn.XLOOKUP($H88,'(backend scoring)'!$S$2:$S$333,'(backend scoring)'!$A$2:$A$333,"")</f>
        <v/>
      </c>
      <c r="J88" s="205" t="str">
        <f>IFERROR(VLOOKUP($I88,'Institution Evaluation'!$A$55:$F$345,2,0),IFERROR(VLOOKUP($I88,'Privacy Analyst Evaluation'!$A$46:$F$120,2,0),""))</f>
        <v/>
      </c>
      <c r="K88" s="205" t="str">
        <f>IFERROR(VLOOKUP($I88,'Institution Evaluation'!$A$55:$F$345,3,0),IFERROR(VLOOKUP($I88,'Privacy Analyst Evaluation'!$A$46:$F$120,3,0),""))&amp;""</f>
        <v/>
      </c>
      <c r="L88" s="205" t="str">
        <f>IFERROR(VLOOKUP($I88,'Institution Evaluation'!$A$55:$F$345,4,0),IFERROR(VLOOKUP($I88,'Privacy Analyst Evaluation'!$A$46:$F$120,4,0),""))&amp;""</f>
        <v/>
      </c>
      <c r="M88" s="205" t="str">
        <f>IFERROR(VLOOKUP($I88,'Institution Evaluation'!$A$55:$F$345,6,0),IFERROR(VLOOKUP($I88,'Privacy Analyst Evaluation'!$A$46:$F$120,6,0),""))&amp;""</f>
        <v/>
      </c>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row>
    <row r="89" spans="1:338" ht="375" x14ac:dyDescent="0.3">
      <c r="A89" s="205">
        <f>IFERROR(IF($A88+1&gt;'(backend scoring)'!$T$335,"",$A88+1),"")</f>
        <v>65</v>
      </c>
      <c r="B89" s="205" t="str">
        <f>_xlfn.XLOOKUP($A89,'(backend scoring)'!$V$2:$V$333,'(backend scoring)'!$A$2:$A$333,"")</f>
        <v>PDAT-01</v>
      </c>
      <c r="C89" s="205" t="str">
        <f>IFERROR(VLOOKUP($B89,'Institution Evaluation'!$A$55:$F$345,2,0),IFERROR(VLOOKUP($B89,'Privacy Analyst Evaluation'!$A$46:$F$120,2,0),""))&amp;""</f>
        <v>Do you collect, process, or store demographic information?*</v>
      </c>
      <c r="D89" s="205" t="str">
        <f>IFERROR(VLOOKUP($B89,'Institution Evaluation'!$A$55:$F$345,3,0),IFERROR(VLOOKUP($B89,'Privacy Analyst Evaluation'!$A$46:$F$120,3,0),""))&amp;""</f>
        <v>No</v>
      </c>
      <c r="E89" s="205" t="str">
        <f>IFERROR(VLOOKUP($B89,'Institution Evaluation'!$A$55:$F$345,4,0),IFERROR(VLOOKUP($B89,'Privacy Analyst Evaluation'!$A$46:$F$120,4,0),""))&amp;""</f>
        <v>Preservica does not collect demographic information about the institution's users or data subjects. The only personal data Preservica collects in its own right is the limited information required to manage the commercial relationship with the institution, as described in the Privacy Policy. Where an institution chooses to ingest content that contains demographic information, that content is processed by Preservica solely as Processor, on the institution's documented instructions; Preservica does not extract, derive or analyse demographic attributes from it.</v>
      </c>
      <c r="F89" s="205" t="str">
        <f>IFERROR(VLOOKUP($B89,'Institution Evaluation'!$A$55:$F$345,6,0),IFERROR(VLOOKUP($B89,'Privacy Analyst Evaluation'!$A$46:$F$120,6,0),""))&amp;""</f>
        <v/>
      </c>
      <c r="G89" s="206"/>
      <c r="H89" s="205" t="str">
        <f>IFERROR(IF($H88+1&gt;'(backend scoring)'!$Q$335,"",$H88+1),"")</f>
        <v/>
      </c>
      <c r="I89" s="205" t="str">
        <f>_xlfn.XLOOKUP($H89,'(backend scoring)'!$S$2:$S$333,'(backend scoring)'!$A$2:$A$333,"")</f>
        <v/>
      </c>
      <c r="J89" s="205" t="str">
        <f>IFERROR(VLOOKUP($I89,'Institution Evaluation'!$A$55:$F$345,2,0),IFERROR(VLOOKUP($I89,'Privacy Analyst Evaluation'!$A$46:$F$120,2,0),""))</f>
        <v/>
      </c>
      <c r="K89" s="205" t="str">
        <f>IFERROR(VLOOKUP($I89,'Institution Evaluation'!$A$55:$F$345,3,0),IFERROR(VLOOKUP($I89,'Privacy Analyst Evaluation'!$A$46:$F$120,3,0),""))&amp;""</f>
        <v/>
      </c>
      <c r="L89" s="205" t="str">
        <f>IFERROR(VLOOKUP($I89,'Institution Evaluation'!$A$55:$F$345,4,0),IFERROR(VLOOKUP($I89,'Privacy Analyst Evaluation'!$A$46:$F$120,4,0),""))&amp;""</f>
        <v/>
      </c>
      <c r="M89" s="205" t="str">
        <f>IFERROR(VLOOKUP($I89,'Institution Evaluation'!$A$55:$F$345,6,0),IFERROR(VLOOKUP($I89,'Privacy Analyst Evaluation'!$A$46:$F$120,6,0),""))&amp;""</f>
        <v/>
      </c>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row>
    <row r="90" spans="1:338" ht="409.5" x14ac:dyDescent="0.3">
      <c r="A90" s="205">
        <f>IFERROR(IF($A89+1&gt;'(backend scoring)'!$T$335,"",$A89+1),"")</f>
        <v>66</v>
      </c>
      <c r="B90" s="205" t="str">
        <f>_xlfn.XLOOKUP($A90,'(backend scoring)'!$V$2:$V$333,'(backend scoring)'!$A$2:$A$333,"")</f>
        <v>PDAT-02</v>
      </c>
      <c r="C90" s="205" t="str">
        <f>IFERROR(VLOOKUP($B90,'Institution Evaluation'!$A$55:$F$345,2,0),IFERROR(VLOOKUP($B90,'Privacy Analyst Evaluation'!$A$46:$F$120,2,0),""))&amp;""</f>
        <v>Do you capture or create genetic, biometric, or behaviometric information (e.g., facial recognition or fingerprints)?*</v>
      </c>
      <c r="D90" s="205" t="str">
        <f>IFERROR(VLOOKUP($B90,'Institution Evaluation'!$A$55:$F$345,3,0),IFERROR(VLOOKUP($B90,'Privacy Analyst Evaluation'!$A$46:$F$120,3,0),""))&amp;""</f>
        <v>No</v>
      </c>
      <c r="E90" s="205" t="str">
        <f>IFERROR(VLOOKUP($B90,'Institution Evaluation'!$A$55:$F$345,4,0),IFERROR(VLOOKUP($B90,'Privacy Analyst Evaluation'!$A$46:$F$120,4,0),""))&amp;""</f>
        <v>Preservica does not capture or create genetic, biometric or behaviometric information. The platform's optional AI capabilities are limited to optical character recognition, identification of potential personal data within text, image description, audio and video transcription, and metadata quality checking; they do not include facial recognition, biometric matching, or behavioural profiling, and no biometric templates or identifiers are generated. Where an institution chooses to ingest content that itself contains such information, Preservica stores it as ingested and processes it solely as Processor on the institution's documented instructions.</v>
      </c>
      <c r="F90" s="205" t="str">
        <f>IFERROR(VLOOKUP($B90,'Institution Evaluation'!$A$55:$F$345,6,0),IFERROR(VLOOKUP($B90,'Privacy Analyst Evaluation'!$A$46:$F$120,6,0),""))&amp;""</f>
        <v/>
      </c>
      <c r="G90" s="206"/>
      <c r="H90" s="205" t="str">
        <f>IFERROR(IF($H89+1&gt;'(backend scoring)'!$Q$335,"",$H89+1),"")</f>
        <v/>
      </c>
      <c r="I90" s="205" t="str">
        <f>_xlfn.XLOOKUP($H90,'(backend scoring)'!$S$2:$S$333,'(backend scoring)'!$A$2:$A$333,"")</f>
        <v/>
      </c>
      <c r="J90" s="205" t="str">
        <f>IFERROR(VLOOKUP($I90,'Institution Evaluation'!$A$55:$F$345,2,0),IFERROR(VLOOKUP($I90,'Privacy Analyst Evaluation'!$A$46:$F$120,2,0),""))</f>
        <v/>
      </c>
      <c r="K90" s="205" t="str">
        <f>IFERROR(VLOOKUP($I90,'Institution Evaluation'!$A$55:$F$345,3,0),IFERROR(VLOOKUP($I90,'Privacy Analyst Evaluation'!$A$46:$F$120,3,0),""))&amp;""</f>
        <v/>
      </c>
      <c r="L90" s="205" t="str">
        <f>IFERROR(VLOOKUP($I90,'Institution Evaluation'!$A$55:$F$345,4,0),IFERROR(VLOOKUP($I90,'Privacy Analyst Evaluation'!$A$46:$F$120,4,0),""))&amp;""</f>
        <v/>
      </c>
      <c r="M90" s="205" t="str">
        <f>IFERROR(VLOOKUP($I90,'Institution Evaluation'!$A$55:$F$345,6,0),IFERROR(VLOOKUP($I90,'Privacy Analyst Evaluation'!$A$46:$F$120,6,0),""))&amp;""</f>
        <v/>
      </c>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row>
    <row r="91" spans="1:338" ht="300" x14ac:dyDescent="0.3">
      <c r="A91" s="205">
        <f>IFERROR(IF($A90+1&gt;'(backend scoring)'!$T$335,"",$A90+1),"")</f>
        <v>67</v>
      </c>
      <c r="B91" s="205" t="str">
        <f>_xlfn.XLOOKUP($A91,'(backend scoring)'!$V$2:$V$333,'(backend scoring)'!$A$2:$A$333,"")</f>
        <v>PDAT-03</v>
      </c>
      <c r="C91" s="205" t="str">
        <f>IFERROR(VLOOKUP($B91,'Institution Evaluation'!$A$55:$F$345,2,0),IFERROR(VLOOKUP($B91,'Privacy Analyst Evaluation'!$A$46:$F$120,2,0),""))&amp;""</f>
        <v>Do you combine institutional data (including "de-identified," "anonymized," or otherwise masked data) with personal data from any other sources?*</v>
      </c>
      <c r="D91" s="205" t="str">
        <f>IFERROR(VLOOKUP($B91,'Institution Evaluation'!$A$55:$F$345,3,0),IFERROR(VLOOKUP($B91,'Privacy Analyst Evaluation'!$A$46:$F$120,3,0),""))&amp;""</f>
        <v>No</v>
      </c>
      <c r="E91" s="205" t="str">
        <f>IFERROR(VLOOKUP($B91,'Institution Evaluation'!$A$55:$F$345,4,0),IFERROR(VLOOKUP($B91,'Privacy Analyst Evaluation'!$A$46:$F$120,4,0),""))&amp;""</f>
        <v>Preservica does not combine institutional data, whether identifiable, de-identified or anonymised, with personal data from any other source. Content ingested by the institution is processed solely in Preservica's capacity as Processor, on the institution's documented instructions; it is not enriched from external datasets, not used for Preservica's own purposes, not used for product development, and not used to train or fine-tune any AI model.</v>
      </c>
      <c r="F91" s="205" t="str">
        <f>IFERROR(VLOOKUP($B91,'Institution Evaluation'!$A$55:$F$345,6,0),IFERROR(VLOOKUP($B91,'Privacy Analyst Evaluation'!$A$46:$F$120,6,0),""))&amp;""</f>
        <v/>
      </c>
      <c r="G91" s="206"/>
      <c r="H91" s="205" t="str">
        <f>IFERROR(IF($H90+1&gt;'(backend scoring)'!$Q$335,"",$H90+1),"")</f>
        <v/>
      </c>
      <c r="I91" s="205" t="str">
        <f>_xlfn.XLOOKUP($H91,'(backend scoring)'!$S$2:$S$333,'(backend scoring)'!$A$2:$A$333,"")</f>
        <v/>
      </c>
      <c r="J91" s="205" t="str">
        <f>IFERROR(VLOOKUP($I91,'Institution Evaluation'!$A$55:$F$345,2,0),IFERROR(VLOOKUP($I91,'Privacy Analyst Evaluation'!$A$46:$F$120,2,0),""))</f>
        <v/>
      </c>
      <c r="K91" s="205" t="str">
        <f>IFERROR(VLOOKUP($I91,'Institution Evaluation'!$A$55:$F$345,3,0),IFERROR(VLOOKUP($I91,'Privacy Analyst Evaluation'!$A$46:$F$120,3,0),""))&amp;""</f>
        <v/>
      </c>
      <c r="L91" s="205" t="str">
        <f>IFERROR(VLOOKUP($I91,'Institution Evaluation'!$A$55:$F$345,4,0),IFERROR(VLOOKUP($I91,'Privacy Analyst Evaluation'!$A$46:$F$120,4,0),""))&amp;""</f>
        <v/>
      </c>
      <c r="M91" s="205" t="str">
        <f>IFERROR(VLOOKUP($I91,'Institution Evaluation'!$A$55:$F$345,6,0),IFERROR(VLOOKUP($I91,'Privacy Analyst Evaluation'!$A$46:$F$120,6,0),""))&amp;""</f>
        <v/>
      </c>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row>
    <row r="92" spans="1:338" ht="409.5" x14ac:dyDescent="0.3">
      <c r="A92" s="205">
        <f>IFERROR(IF($A91+1&gt;'(backend scoring)'!$T$335,"",$A91+1),"")</f>
        <v>68</v>
      </c>
      <c r="B92" s="205" t="str">
        <f>_xlfn.XLOOKUP($A92,'(backend scoring)'!$V$2:$V$333,'(backend scoring)'!$A$2:$A$333,"")</f>
        <v>PRPO-06</v>
      </c>
      <c r="C92" s="205" t="str">
        <f>IFERROR(VLOOKUP($B92,'Institution Evaluation'!$A$55:$F$345,2,0),IFERROR(VLOOKUP($B92,'Privacy Analyst Evaluation'!$A$46:$F$120,2,0),""))&amp;""</f>
        <v>Do you have a privacy awareness/training program?*</v>
      </c>
      <c r="D92" s="205" t="str">
        <f>IFERROR(VLOOKUP($B92,'Institution Evaluation'!$A$55:$F$345,3,0),IFERROR(VLOOKUP($B92,'Privacy Analyst Evaluation'!$A$46:$F$120,3,0),""))&amp;""</f>
        <v>Yes</v>
      </c>
      <c r="E92" s="205" t="str">
        <f>IFERROR(VLOOKUP($B92,'Institution Evaluation'!$A$55:$F$345,4,0),IFERROR(VLOOKUP($B92,'Privacy Analyst Evaluation'!$A$46:$F$120,4,0),""))&amp;""</f>
        <v>Preservica operates a documented security and privacy awareness training programme. It applies to all Preservica staff, temporary staff, consultants and third parties with access to Preservica information, customer information, or the facilities, technologies and services used to process that information. Content includes data classification and secure disposal; the secure handling, transmission, storage, retention and disposal of sensitive customer information; recognition and reporting of phishing, social engineering, credential harvesting and business email compromise; password and information handling practice; acceptable use of company resources; and incident and breach reporting procedures. Privileged users and staff with access to customer data receive additional role-specific training on their responsibilities and applicable compliance requirements.</v>
      </c>
      <c r="F92" s="205" t="str">
        <f>IFERROR(VLOOKUP($B92,'Institution Evaluation'!$A$55:$F$345,6,0),IFERROR(VLOOKUP($B92,'Privacy Analyst Evaluation'!$A$46:$F$120,6,0),""))&amp;""</f>
        <v/>
      </c>
      <c r="G92" s="206"/>
      <c r="H92" s="205" t="str">
        <f>IFERROR(IF($H91+1&gt;'(backend scoring)'!$Q$335,"",$H91+1),"")</f>
        <v/>
      </c>
      <c r="I92" s="205" t="str">
        <f>_xlfn.XLOOKUP($H92,'(backend scoring)'!$S$2:$S$333,'(backend scoring)'!$A$2:$A$333,"")</f>
        <v/>
      </c>
      <c r="J92" s="205" t="str">
        <f>IFERROR(VLOOKUP($I92,'Institution Evaluation'!$A$55:$F$345,2,0),IFERROR(VLOOKUP($I92,'Privacy Analyst Evaluation'!$A$46:$F$120,2,0),""))</f>
        <v/>
      </c>
      <c r="K92" s="205" t="str">
        <f>IFERROR(VLOOKUP($I92,'Institution Evaluation'!$A$55:$F$345,3,0),IFERROR(VLOOKUP($I92,'Privacy Analyst Evaluation'!$A$46:$F$120,3,0),""))&amp;""</f>
        <v/>
      </c>
      <c r="L92" s="205" t="str">
        <f>IFERROR(VLOOKUP($I92,'Institution Evaluation'!$A$55:$F$345,4,0),IFERROR(VLOOKUP($I92,'Privacy Analyst Evaluation'!$A$46:$F$120,4,0),""))&amp;""</f>
        <v/>
      </c>
      <c r="M92" s="205" t="str">
        <f>IFERROR(VLOOKUP($I92,'Institution Evaluation'!$A$55:$F$345,6,0),IFERROR(VLOOKUP($I92,'Privacy Analyst Evaluation'!$A$46:$F$120,6,0),""))&amp;""</f>
        <v/>
      </c>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row>
    <row r="93" spans="1:338" ht="315" x14ac:dyDescent="0.3">
      <c r="A93" s="205">
        <f>IFERROR(IF($A92+1&gt;'(backend scoring)'!$T$335,"",$A92+1),"")</f>
        <v>69</v>
      </c>
      <c r="B93" s="205" t="str">
        <f>_xlfn.XLOOKUP($A93,'(backend scoring)'!$V$2:$V$333,'(backend scoring)'!$A$2:$A$333,"")</f>
        <v>PRPO-12</v>
      </c>
      <c r="C93" s="205" t="str">
        <f>IFERROR(VLOOKUP($B93,'Institution Evaluation'!$A$55:$F$345,2,0),IFERROR(VLOOKUP($B93,'Privacy Analyst Evaluation'!$A$46:$F$120,2,0),""))&amp;""</f>
        <v>Do you share any institutional data with law enforcement without a valid warrant or subpoena?*</v>
      </c>
      <c r="D93" s="205" t="str">
        <f>IFERROR(VLOOKUP($B93,'Institution Evaluation'!$A$55:$F$345,3,0),IFERROR(VLOOKUP($B93,'Privacy Analyst Evaluation'!$A$46:$F$120,3,0),""))&amp;""</f>
        <v>No</v>
      </c>
      <c r="E93" s="205" t="str">
        <f>IFERROR(VLOOKUP($B93,'Institution Evaluation'!$A$55:$F$345,4,0),IFERROR(VLOOKUP($B93,'Privacy Analyst Evaluation'!$A$46:$F$120,4,0),""))&amp;""</f>
        <v>Preservica does not disclose institutional data to law enforcement absent a legally valid and binding order. Preservica does not provide governments or law enforcement with direct or unfettered access to institutional data; each request is assessed case by case, any resulting access to institutional data requires sign-off by Preservica's Legal team, and disclosure is limited to the specific data identified in the order. Where legally permitted, Preservica seeks to notify the affected institution.</v>
      </c>
      <c r="F93" s="205" t="str">
        <f>IFERROR(VLOOKUP($B93,'Institution Evaluation'!$A$55:$F$345,6,0),IFERROR(VLOOKUP($B93,'Privacy Analyst Evaluation'!$A$46:$F$120,6,0),""))&amp;""</f>
        <v/>
      </c>
      <c r="G93" s="206"/>
      <c r="H93" s="205" t="str">
        <f>IFERROR(IF($H92+1&gt;'(backend scoring)'!$Q$335,"",$H92+1),"")</f>
        <v/>
      </c>
      <c r="I93" s="205" t="str">
        <f>_xlfn.XLOOKUP($H93,'(backend scoring)'!$S$2:$S$333,'(backend scoring)'!$A$2:$A$333,"")</f>
        <v/>
      </c>
      <c r="J93" s="205" t="str">
        <f>IFERROR(VLOOKUP($I93,'Institution Evaluation'!$A$55:$F$345,2,0),IFERROR(VLOOKUP($I93,'Privacy Analyst Evaluation'!$A$46:$F$120,2,0),""))</f>
        <v/>
      </c>
      <c r="K93" s="205" t="str">
        <f>IFERROR(VLOOKUP($I93,'Institution Evaluation'!$A$55:$F$345,3,0),IFERROR(VLOOKUP($I93,'Privacy Analyst Evaluation'!$A$46:$F$120,3,0),""))&amp;""</f>
        <v/>
      </c>
      <c r="L93" s="205" t="str">
        <f>IFERROR(VLOOKUP($I93,'Institution Evaluation'!$A$55:$F$345,4,0),IFERROR(VLOOKUP($I93,'Privacy Analyst Evaluation'!$A$46:$F$120,4,0),""))&amp;""</f>
        <v/>
      </c>
      <c r="M93" s="205" t="str">
        <f>IFERROR(VLOOKUP($I93,'Institution Evaluation'!$A$55:$F$345,6,0),IFERROR(VLOOKUP($I93,'Privacy Analyst Evaluation'!$A$46:$F$120,6,0),""))&amp;""</f>
        <v/>
      </c>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row>
    <row r="94" spans="1:338" ht="409.5" x14ac:dyDescent="0.3">
      <c r="A94" s="205">
        <f>IFERROR(IF($A93+1&gt;'(backend scoring)'!$T$335,"",$A93+1),"")</f>
        <v>70</v>
      </c>
      <c r="B94" s="205" t="str">
        <f>_xlfn.XLOOKUP($A94,'(backend scoring)'!$V$2:$V$333,'(backend scoring)'!$A$2:$A$333,"")</f>
        <v>DPAI-02</v>
      </c>
      <c r="C94" s="205" t="str">
        <f>IFERROR(VLOOKUP($B94,'Institution Evaluation'!$A$55:$F$345,2,0),IFERROR(VLOOKUP($B94,'Privacy Analyst Evaluation'!$A$46:$F$120,2,0),""))&amp;""</f>
        <v>Is any institutional data retained in AI processing?*</v>
      </c>
      <c r="D94" s="205" t="str">
        <f>IFERROR(VLOOKUP($B94,'Institution Evaluation'!$A$55:$F$345,3,0),IFERROR(VLOOKUP($B94,'Privacy Analyst Evaluation'!$A$46:$F$120,3,0),""))&amp;""</f>
        <v>No</v>
      </c>
      <c r="E94" s="205" t="str">
        <f>IFERROR(VLOOKUP($B94,'Institution Evaluation'!$A$55:$F$345,4,0),IFERROR(VLOOKUP($B94,'Privacy Analyst Evaluation'!$A$46:$F$120,4,0),""))&amp;""</f>
        <v>No institutional data is retained by the AI models or services that process it. For optical character recognition, identification of potential personal data, and audio and video transcription, processing takes place entirely within the Preservica SaaS boundary using open-source models operated by Preservica, so no data leaves the institution's environment. For image description, processing is performed by the enterprise AI services of the same cloud provider that hosts the institution's environment, under inference-only, stateless terms; inputs and outputs are not retained by the model and are not used for training. Institutional data is not used to train or fine-tune any AI model. Outputs generated by AI processing, such as extracted text, transcripts, image descriptions and flags for potential personal data, are written back into the institution's own tenancy as content or metadata, where they remain under the institution's control and within the contracted data residency region.</v>
      </c>
      <c r="F94" s="205" t="str">
        <f>IFERROR(VLOOKUP($B94,'Institution Evaluation'!$A$55:$F$345,6,0),IFERROR(VLOOKUP($B94,'Privacy Analyst Evaluation'!$A$46:$F$120,6,0),""))&amp;""</f>
        <v/>
      </c>
      <c r="G94" s="206"/>
      <c r="H94" s="205" t="str">
        <f>IFERROR(IF($H93+1&gt;'(backend scoring)'!$Q$335,"",$H93+1),"")</f>
        <v/>
      </c>
      <c r="I94" s="205" t="str">
        <f>_xlfn.XLOOKUP($H94,'(backend scoring)'!$S$2:$S$333,'(backend scoring)'!$A$2:$A$333,"")</f>
        <v/>
      </c>
      <c r="J94" s="205" t="str">
        <f>IFERROR(VLOOKUP($I94,'Institution Evaluation'!$A$55:$F$345,2,0),IFERROR(VLOOKUP($I94,'Privacy Analyst Evaluation'!$A$46:$F$120,2,0),""))</f>
        <v/>
      </c>
      <c r="K94" s="205" t="str">
        <f>IFERROR(VLOOKUP($I94,'Institution Evaluation'!$A$55:$F$345,3,0),IFERROR(VLOOKUP($I94,'Privacy Analyst Evaluation'!$A$46:$F$120,3,0),""))&amp;""</f>
        <v/>
      </c>
      <c r="L94" s="205" t="str">
        <f>IFERROR(VLOOKUP($I94,'Institution Evaluation'!$A$55:$F$345,4,0),IFERROR(VLOOKUP($I94,'Privacy Analyst Evaluation'!$A$46:$F$120,4,0),""))&amp;""</f>
        <v/>
      </c>
      <c r="M94" s="205" t="str">
        <f>IFERROR(VLOOKUP($I94,'Institution Evaluation'!$A$55:$F$345,6,0),IFERROR(VLOOKUP($I94,'Privacy Analyst Evaluation'!$A$46:$F$120,6,0),""))&amp;""</f>
        <v/>
      </c>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row>
    <row r="95" spans="1:338" ht="409.5" x14ac:dyDescent="0.3">
      <c r="A95" s="205">
        <f>IFERROR(IF($A94+1&gt;'(backend scoring)'!$T$335,"",$A94+1),"")</f>
        <v>71</v>
      </c>
      <c r="B95" s="205" t="str">
        <f>_xlfn.XLOOKUP($A95,'(backend scoring)'!$V$2:$V$333,'(backend scoring)'!$A$2:$A$333,"")</f>
        <v>DPAI-03</v>
      </c>
      <c r="C95" s="205" t="str">
        <f>IFERROR(VLOOKUP($B95,'Institution Evaluation'!$A$55:$F$345,2,0),IFERROR(VLOOKUP($B95,'Privacy Analyst Evaluation'!$A$46:$F$120,2,0),""))&amp;""</f>
        <v>Do you have agreements in place with third parties or subprocessors regarding the protection of customer data and use of AI?*</v>
      </c>
      <c r="D95" s="205" t="str">
        <f>IFERROR(VLOOKUP($B95,'Institution Evaluation'!$A$55:$F$345,3,0),IFERROR(VLOOKUP($B95,'Privacy Analyst Evaluation'!$A$46:$F$120,3,0),""))&amp;""</f>
        <v>Yes</v>
      </c>
      <c r="E95" s="205" t="str">
        <f>IFERROR(VLOOKUP($B95,'Institution Evaluation'!$A$55:$F$345,4,0),IFERROR(VLOOKUP($B95,'Privacy Analyst Evaluation'!$A$46:$F$120,4,0),""))&amp;""</f>
        <v>Preservica's sub-processors are AWS or Microsoft Azure, as specified in the institution's Order Form, together with Cloudflare for Professional edition and above; Preservica accepts responsibility for its sub-processors under its standard Terms and Conditions. Where the optional image description capability is enabled, the AI services used are those of the same cloud provider already hosting the institution's environment, engaged under inference-only, no-training, stateless-processing terms, and used consistently with the institution's contracted data residency. Those providers' certifications, including ISO/IEC 27001 and SOC reports, are reviewed by Preservica at least annually under its Critical Supplier Review process. All other AI capabilities run on models operated by Preservica within its own SaaS boundary, so no third-party AI service is involved.</v>
      </c>
      <c r="F95" s="205" t="str">
        <f>IFERROR(VLOOKUP($B95,'Institution Evaluation'!$A$55:$F$345,6,0),IFERROR(VLOOKUP($B95,'Privacy Analyst Evaluation'!$A$46:$F$120,6,0),""))&amp;""</f>
        <v/>
      </c>
      <c r="G95" s="206"/>
      <c r="H95" s="205" t="str">
        <f>IFERROR(IF($H94+1&gt;'(backend scoring)'!$Q$335,"",$H94+1),"")</f>
        <v/>
      </c>
      <c r="I95" s="205" t="str">
        <f>_xlfn.XLOOKUP($H95,'(backend scoring)'!$S$2:$S$333,'(backend scoring)'!$A$2:$A$333,"")</f>
        <v/>
      </c>
      <c r="J95" s="205" t="str">
        <f>IFERROR(VLOOKUP($I95,'Institution Evaluation'!$A$55:$F$345,2,0),IFERROR(VLOOKUP($I95,'Privacy Analyst Evaluation'!$A$46:$F$120,2,0),""))</f>
        <v/>
      </c>
      <c r="K95" s="205" t="str">
        <f>IFERROR(VLOOKUP($I95,'Institution Evaluation'!$A$55:$F$345,3,0),IFERROR(VLOOKUP($I95,'Privacy Analyst Evaluation'!$A$46:$F$120,3,0),""))&amp;""</f>
        <v/>
      </c>
      <c r="L95" s="205" t="str">
        <f>IFERROR(VLOOKUP($I95,'Institution Evaluation'!$A$55:$F$345,4,0),IFERROR(VLOOKUP($I95,'Privacy Analyst Evaluation'!$A$46:$F$120,4,0),""))&amp;""</f>
        <v/>
      </c>
      <c r="M95" s="205" t="str">
        <f>IFERROR(VLOOKUP($I95,'Institution Evaluation'!$A$55:$F$345,6,0),IFERROR(VLOOKUP($I95,'Privacy Analyst Evaluation'!$A$46:$F$120,6,0),""))&amp;""</f>
        <v/>
      </c>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row>
    <row r="96" spans="1:338" ht="409.5" x14ac:dyDescent="0.3">
      <c r="A96" s="205">
        <f>IFERROR(IF($A95+1&gt;'(backend scoring)'!$T$335,"",$A95+1),"")</f>
        <v>72</v>
      </c>
      <c r="B96" s="205" t="str">
        <f>_xlfn.XLOOKUP($A96,'(backend scoring)'!$V$2:$V$333,'(backend scoring)'!$A$2:$A$333,"")</f>
        <v>AIGN-01</v>
      </c>
      <c r="C96" s="205" t="str">
        <f>IFERROR(VLOOKUP($B96,'Institution Evaluation'!$A$55:$F$345,2,0),IFERROR(VLOOKUP($B96,'Privacy Analyst Evaluation'!$A$46:$F$120,2,0),""))&amp;""</f>
        <v>Does your solution have an AI risk model when developing or implementing your solution's AI model?*</v>
      </c>
      <c r="D96" s="205" t="str">
        <f>IFERROR(VLOOKUP($B96,'Institution Evaluation'!$A$55:$F$345,3,0),IFERROR(VLOOKUP($B96,'Privacy Analyst Evaluation'!$A$46:$F$120,3,0),""))&amp;""</f>
        <v>Yes</v>
      </c>
      <c r="E96" s="205" t="str">
        <f>IFERROR(VLOOKUP($B96,'Institution Evaluation'!$A$55:$F$345,4,0),IFERROR(VLOOKUP($B96,'Privacy Analyst Evaluation'!$A$46:$F$120,4,0),""))&amp;""</f>
        <v>AI capabilities are assessed within Preservica's established risk management programme, which covers all corporate operations including the Preservica service, operates within Preservica's certified management systems and is independently audited. Risks are assessed on a likelihood and impact basis, and every risk is reviewed at least annually or more frequently where the residual risk level requires it. System designs, including those for AI-assisted capabilities, are assessed against the OWASP Top 10 (2025) categories during the design phase and are peer-reviewed at technical review meetings that include an Information Security representative. Preservica acts as a Deployer of AI systems under Regulation (EU) 2024/1689, selecting and integrating models for defined low-risk use cases, applying safeguards and maintaining human oversight.</v>
      </c>
      <c r="F96" s="205" t="str">
        <f>IFERROR(VLOOKUP($B96,'Institution Evaluation'!$A$55:$F$345,6,0),IFERROR(VLOOKUP($B96,'Privacy Analyst Evaluation'!$A$46:$F$120,6,0),""))&amp;""</f>
        <v/>
      </c>
      <c r="G96" s="206"/>
      <c r="H96" s="205" t="str">
        <f>IFERROR(IF($H95+1&gt;'(backend scoring)'!$Q$335,"",$H95+1),"")</f>
        <v/>
      </c>
      <c r="I96" s="205" t="str">
        <f>_xlfn.XLOOKUP($H96,'(backend scoring)'!$S$2:$S$333,'(backend scoring)'!$A$2:$A$333,"")</f>
        <v/>
      </c>
      <c r="J96" s="205" t="str">
        <f>IFERROR(VLOOKUP($I96,'Institution Evaluation'!$A$55:$F$345,2,0),IFERROR(VLOOKUP($I96,'Privacy Analyst Evaluation'!$A$46:$F$120,2,0),""))</f>
        <v/>
      </c>
      <c r="K96" s="205" t="str">
        <f>IFERROR(VLOOKUP($I96,'Institution Evaluation'!$A$55:$F$345,3,0),IFERROR(VLOOKUP($I96,'Privacy Analyst Evaluation'!$A$46:$F$120,3,0),""))&amp;""</f>
        <v/>
      </c>
      <c r="L96" s="205" t="str">
        <f>IFERROR(VLOOKUP($I96,'Institution Evaluation'!$A$55:$F$345,4,0),IFERROR(VLOOKUP($I96,'Privacy Analyst Evaluation'!$A$46:$F$120,4,0),""))&amp;""</f>
        <v/>
      </c>
      <c r="M96" s="205" t="str">
        <f>IFERROR(VLOOKUP($I96,'Institution Evaluation'!$A$55:$F$345,6,0),IFERROR(VLOOKUP($I96,'Privacy Analyst Evaluation'!$A$46:$F$120,6,0),""))&amp;""</f>
        <v/>
      </c>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row>
    <row r="97" spans="1:338" ht="300" x14ac:dyDescent="0.3">
      <c r="A97" s="205">
        <f>IFERROR(IF($A96+1&gt;'(backend scoring)'!$T$335,"",$A96+1),"")</f>
        <v>73</v>
      </c>
      <c r="B97" s="205" t="str">
        <f>_xlfn.XLOOKUP($A97,'(backend scoring)'!$V$2:$V$333,'(backend scoring)'!$A$2:$A$333,"")</f>
        <v>AIGN-02</v>
      </c>
      <c r="C97" s="205" t="str">
        <f>IFERROR(VLOOKUP($B97,'Institution Evaluation'!$A$55:$F$345,2,0),IFERROR(VLOOKUP($B97,'Privacy Analyst Evaluation'!$A$46:$F$120,2,0),""))&amp;""</f>
        <v>Can your solution's AI features be disabled by tenant and/or user?*</v>
      </c>
      <c r="D97" s="205" t="str">
        <f>IFERROR(VLOOKUP($B97,'Institution Evaluation'!$A$55:$F$345,3,0),IFERROR(VLOOKUP($B97,'Privacy Analyst Evaluation'!$A$46:$F$120,3,0),""))&amp;""</f>
        <v>Yes</v>
      </c>
      <c r="E97" s="205" t="str">
        <f>IFERROR(VLOOKUP($B97,'Institution Evaluation'!$A$55:$F$345,4,0),IFERROR(VLOOKUP($B97,'Privacy Analyst Evaluation'!$A$46:$F$120,4,0),""))&amp;""</f>
        <v>AI-assisted capabilities are disabled by default and no AI processing occurs unless a customer explicitly enables it. Once enabled, access can be further restricted to named users through administrative control and the platform's standard role-based access control, so that AI capabilities are available only to authorised users and defined use cases. Role permissions can additionally be scoped to specific content, and customers can define custom roles.</v>
      </c>
      <c r="F97" s="205" t="str">
        <f>IFERROR(VLOOKUP($B97,'Institution Evaluation'!$A$55:$F$345,6,0),IFERROR(VLOOKUP($B97,'Privacy Analyst Evaluation'!$A$46:$F$120,6,0),""))&amp;""</f>
        <v/>
      </c>
      <c r="G97" s="206"/>
      <c r="H97" s="205" t="str">
        <f>IFERROR(IF($H96+1&gt;'(backend scoring)'!$Q$335,"",$H96+1),"")</f>
        <v/>
      </c>
      <c r="I97" s="205" t="str">
        <f>_xlfn.XLOOKUP($H97,'(backend scoring)'!$S$2:$S$333,'(backend scoring)'!$A$2:$A$333,"")</f>
        <v/>
      </c>
      <c r="J97" s="205" t="str">
        <f>IFERROR(VLOOKUP($I97,'Institution Evaluation'!$A$55:$F$345,2,0),IFERROR(VLOOKUP($I97,'Privacy Analyst Evaluation'!$A$46:$F$120,2,0),""))</f>
        <v/>
      </c>
      <c r="K97" s="205" t="str">
        <f>IFERROR(VLOOKUP($I97,'Institution Evaluation'!$A$55:$F$345,3,0),IFERROR(VLOOKUP($I97,'Privacy Analyst Evaluation'!$A$46:$F$120,3,0),""))&amp;""</f>
        <v/>
      </c>
      <c r="L97" s="205" t="str">
        <f>IFERROR(VLOOKUP($I97,'Institution Evaluation'!$A$55:$F$345,4,0),IFERROR(VLOOKUP($I97,'Privacy Analyst Evaluation'!$A$46:$F$120,4,0),""))&amp;""</f>
        <v/>
      </c>
      <c r="M97" s="205" t="str">
        <f>IFERROR(VLOOKUP($I97,'Institution Evaluation'!$A$55:$F$345,6,0),IFERROR(VLOOKUP($I97,'Privacy Analyst Evaluation'!$A$46:$F$120,6,0),""))&amp;""</f>
        <v/>
      </c>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row>
    <row r="98" spans="1:338" ht="345" x14ac:dyDescent="0.3">
      <c r="A98" s="205">
        <f>IFERROR(IF($A97+1&gt;'(backend scoring)'!$T$335,"",$A97+1),"")</f>
        <v>74</v>
      </c>
      <c r="B98" s="205" t="str">
        <f>_xlfn.XLOOKUP($A98,'(backend scoring)'!$V$2:$V$333,'(backend scoring)'!$A$2:$A$333,"")</f>
        <v>AIGN-03</v>
      </c>
      <c r="C98" s="205" t="str">
        <f>IFERROR(VLOOKUP($B98,'Institution Evaluation'!$A$55:$F$345,2,0),IFERROR(VLOOKUP($B98,'Privacy Analyst Evaluation'!$A$46:$F$120,2,0),""))&amp;""</f>
        <v>Have your staff completed responsible AI training?*</v>
      </c>
      <c r="D98" s="205" t="str">
        <f>IFERROR(VLOOKUP($B98,'Institution Evaluation'!$A$55:$F$345,3,0),IFERROR(VLOOKUP($B98,'Privacy Analyst Evaluation'!$A$46:$F$120,3,0),""))&amp;""</f>
        <v>Yes</v>
      </c>
      <c r="E98" s="205" t="str">
        <f>IFERROR(VLOOKUP($B98,'Institution Evaluation'!$A$55:$F$345,4,0),IFERROR(VLOOKUP($B98,'Privacy Analyst Evaluation'!$A$46:$F$120,4,0),""))&amp;""</f>
        <v>Preservica delivers role-aligned training covering AI awareness and literacy, responsible use of AI, information security, and data protection obligations, as part of its wider security and compliance training programme. AI literacy is maintained as an obligation of Preservica's role as a Deployer of AI systems under Regulation (EU) 2024/1689. Core policies are read and acknowledged by all staff on hire and annually thereafter, with additional role-specific policies applying to development and product teams.</v>
      </c>
      <c r="F98" s="205" t="str">
        <f>IFERROR(VLOOKUP($B98,'Institution Evaluation'!$A$55:$F$345,6,0),IFERROR(VLOOKUP($B98,'Privacy Analyst Evaluation'!$A$46:$F$120,6,0),""))&amp;""</f>
        <v/>
      </c>
      <c r="G98" s="206"/>
      <c r="H98" s="205" t="str">
        <f>IFERROR(IF($H97+1&gt;'(backend scoring)'!$Q$335,"",$H97+1),"")</f>
        <v/>
      </c>
      <c r="I98" s="205" t="str">
        <f>_xlfn.XLOOKUP($H98,'(backend scoring)'!$S$2:$S$333,'(backend scoring)'!$A$2:$A$333,"")</f>
        <v/>
      </c>
      <c r="J98" s="205" t="str">
        <f>IFERROR(VLOOKUP($I98,'Institution Evaluation'!$A$55:$F$345,2,0),IFERROR(VLOOKUP($I98,'Privacy Analyst Evaluation'!$A$46:$F$120,2,0),""))</f>
        <v/>
      </c>
      <c r="K98" s="205" t="str">
        <f>IFERROR(VLOOKUP($I98,'Institution Evaluation'!$A$55:$F$345,3,0),IFERROR(VLOOKUP($I98,'Privacy Analyst Evaluation'!$A$46:$F$120,3,0),""))&amp;""</f>
        <v/>
      </c>
      <c r="L98" s="205" t="str">
        <f>IFERROR(VLOOKUP($I98,'Institution Evaluation'!$A$55:$F$345,4,0),IFERROR(VLOOKUP($I98,'Privacy Analyst Evaluation'!$A$46:$F$120,4,0),""))&amp;""</f>
        <v/>
      </c>
      <c r="M98" s="205" t="str">
        <f>IFERROR(VLOOKUP($I98,'Institution Evaluation'!$A$55:$F$345,6,0),IFERROR(VLOOKUP($I98,'Privacy Analyst Evaluation'!$A$46:$F$120,6,0),""))&amp;""</f>
        <v/>
      </c>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row>
    <row r="99" spans="1:338" ht="409.5" x14ac:dyDescent="0.3">
      <c r="A99" s="205">
        <f>IFERROR(IF($A98+1&gt;'(backend scoring)'!$T$335,"",$A98+1),"")</f>
        <v>75</v>
      </c>
      <c r="B99" s="205" t="str">
        <f>_xlfn.XLOOKUP($A99,'(backend scoring)'!$V$2:$V$333,'(backend scoring)'!$A$2:$A$333,"")</f>
        <v>AIPL-01</v>
      </c>
      <c r="C99" s="205" t="str">
        <f>IFERROR(VLOOKUP($B99,'Institution Evaluation'!$A$55:$F$345,2,0),IFERROR(VLOOKUP($B99,'Privacy Analyst Evaluation'!$A$46:$F$120,2,0),""))&amp;""</f>
        <v>Are your AI developer's policies, processes, procedures, and practices across the organization related to the mapping, measuring, and managing of AI risks conspicuously posted, unambiguous, and implemented effectively?*</v>
      </c>
      <c r="D99" s="205" t="str">
        <f>IFERROR(VLOOKUP($B99,'Institution Evaluation'!$A$55:$F$345,3,0),IFERROR(VLOOKUP($B99,'Privacy Analyst Evaluation'!$A$46:$F$120,3,0),""))&amp;""</f>
        <v>Yes</v>
      </c>
      <c r="E99" s="205" t="str">
        <f>IFERROR(VLOOKUP($B99,'Institution Evaluation'!$A$55:$F$345,4,0),IFERROR(VLOOKUP($B99,'Privacy Analyst Evaluation'!$A$46:$F$120,4,0),""))&amp;""</f>
        <v>Preservica maintains an AI policy within its Information Security Management System, alongside its Information Security, Secure Development, Data Protection, Access Control and related policies. Every policy has an assigned owner and approver and is reviewed at least annually, on material change in the environment, or following an incident. Staff read and acknowledge core policies on hire and annually thereafter, with additional role-specific policies applying to development and product teams. Effective implementation is evidenced through Preservica's certifications and independent audit reports, including ISO/IEC 27001:2022 and an annual SOC 2 Type II audit; certificates and compliance documentation are available via Preservica's Trust Center at https://preservica.com/trust-center. The full document register can be shared with prospective customers under non-disclosure agreement, or with existing customers under the audit provisions of their agreement.</v>
      </c>
      <c r="F99" s="205" t="str">
        <f>IFERROR(VLOOKUP($B99,'Institution Evaluation'!$A$55:$F$345,6,0),IFERROR(VLOOKUP($B99,'Privacy Analyst Evaluation'!$A$46:$F$120,6,0),""))&amp;""</f>
        <v/>
      </c>
      <c r="G99" s="206"/>
      <c r="H99" s="205" t="str">
        <f>IFERROR(IF($H98+1&gt;'(backend scoring)'!$Q$335,"",$H98+1),"")</f>
        <v/>
      </c>
      <c r="I99" s="205" t="str">
        <f>_xlfn.XLOOKUP($H99,'(backend scoring)'!$S$2:$S$333,'(backend scoring)'!$A$2:$A$333,"")</f>
        <v/>
      </c>
      <c r="J99" s="205" t="str">
        <f>IFERROR(VLOOKUP($I99,'Institution Evaluation'!$A$55:$F$345,2,0),IFERROR(VLOOKUP($I99,'Privacy Analyst Evaluation'!$A$46:$F$120,2,0),""))</f>
        <v/>
      </c>
      <c r="K99" s="205" t="str">
        <f>IFERROR(VLOOKUP($I99,'Institution Evaluation'!$A$55:$F$345,3,0),IFERROR(VLOOKUP($I99,'Privacy Analyst Evaluation'!$A$46:$F$120,3,0),""))&amp;""</f>
        <v/>
      </c>
      <c r="L99" s="205" t="str">
        <f>IFERROR(VLOOKUP($I99,'Institution Evaluation'!$A$55:$F$345,4,0),IFERROR(VLOOKUP($I99,'Privacy Analyst Evaluation'!$A$46:$F$120,4,0),""))&amp;""</f>
        <v/>
      </c>
      <c r="M99" s="205" t="str">
        <f>IFERROR(VLOOKUP($I99,'Institution Evaluation'!$A$55:$F$345,6,0),IFERROR(VLOOKUP($I99,'Privacy Analyst Evaluation'!$A$46:$F$120,6,0),""))&amp;""</f>
        <v/>
      </c>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row>
    <row r="100" spans="1:338" ht="409.5" x14ac:dyDescent="0.3">
      <c r="A100" s="205">
        <f>IFERROR(IF($A99+1&gt;'(backend scoring)'!$T$335,"",$A99+1),"")</f>
        <v>76</v>
      </c>
      <c r="B100" s="205" t="str">
        <f>_xlfn.XLOOKUP($A100,'(backend scoring)'!$V$2:$V$333,'(backend scoring)'!$A$2:$A$333,"")</f>
        <v>AIPL-02</v>
      </c>
      <c r="C100" s="205" t="str">
        <f>IFERROR(VLOOKUP($B100,'Institution Evaluation'!$A$55:$F$345,2,0),IFERROR(VLOOKUP($B100,'Privacy Analyst Evaluation'!$A$46:$F$120,2,0),""))&amp;""</f>
        <v>Have you identified and measured AI risks?*</v>
      </c>
      <c r="D100" s="205" t="str">
        <f>IFERROR(VLOOKUP($B100,'Institution Evaluation'!$A$55:$F$345,3,0),IFERROR(VLOOKUP($B100,'Privacy Analyst Evaluation'!$A$46:$F$120,3,0),""))&amp;""</f>
        <v>Yes</v>
      </c>
      <c r="E100" s="205" t="str">
        <f>IFERROR(VLOOKUP($B100,'Institution Evaluation'!$A$55:$F$345,4,0),IFERROR(VLOOKUP($B100,'Privacy Analyst Evaluation'!$A$46:$F$120,4,0),""))&amp;""</f>
        <v>AI-related risks are identified and assessed within Preservica's risk management programme, which covers the Preservica service alongside all other corporate operations, operates within Preservica's certified management systems, and is independently audited. Risks are assessed on a likelihood and impact basis, with information security asset risks additionally assessed for impact on confidentiality, integrity and availability. Every risk is reviewed at least annually, or more frequently where the residual risk level requires it. Risks assessed above tolerance must be terminated, transferred or mitigated. AI-specific risks, including prompt injection and comparable model-manipulation risks, are addressed by restricting capabilities to clearly defined use cases, maintaining human oversight of outputs, and applying configuration controls. The Chief Information Security Officer manages the programme day to day.</v>
      </c>
      <c r="F100" s="205" t="str">
        <f>IFERROR(VLOOKUP($B100,'Institution Evaluation'!$A$55:$F$345,6,0),IFERROR(VLOOKUP($B100,'Privacy Analyst Evaluation'!$A$46:$F$120,6,0),""))&amp;""</f>
        <v/>
      </c>
      <c r="G100" s="206"/>
      <c r="H100" s="205" t="str">
        <f>IFERROR(IF($H99+1&gt;'(backend scoring)'!$Q$335,"",$H99+1),"")</f>
        <v/>
      </c>
      <c r="I100" s="205" t="str">
        <f>_xlfn.XLOOKUP($H100,'(backend scoring)'!$S$2:$S$333,'(backend scoring)'!$A$2:$A$333,"")</f>
        <v/>
      </c>
      <c r="J100" s="205" t="str">
        <f>IFERROR(VLOOKUP($I100,'Institution Evaluation'!$A$55:$F$345,2,0),IFERROR(VLOOKUP($I100,'Privacy Analyst Evaluation'!$A$46:$F$120,2,0),""))</f>
        <v/>
      </c>
      <c r="K100" s="205" t="str">
        <f>IFERROR(VLOOKUP($I100,'Institution Evaluation'!$A$55:$F$345,3,0),IFERROR(VLOOKUP($I100,'Privacy Analyst Evaluation'!$A$46:$F$120,3,0),""))&amp;""</f>
        <v/>
      </c>
      <c r="L100" s="205" t="str">
        <f>IFERROR(VLOOKUP($I100,'Institution Evaluation'!$A$55:$F$345,4,0),IFERROR(VLOOKUP($I100,'Privacy Analyst Evaluation'!$A$46:$F$120,4,0),""))&amp;""</f>
        <v/>
      </c>
      <c r="M100" s="205" t="str">
        <f>IFERROR(VLOOKUP($I100,'Institution Evaluation'!$A$55:$F$345,6,0),IFERROR(VLOOKUP($I100,'Privacy Analyst Evaluation'!$A$46:$F$120,6,0),""))&amp;""</f>
        <v/>
      </c>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row>
    <row r="101" spans="1:338" ht="409.5" x14ac:dyDescent="0.3">
      <c r="A101" s="205">
        <f>IFERROR(IF($A100+1&gt;'(backend scoring)'!$T$335,"",$A100+1),"")</f>
        <v>77</v>
      </c>
      <c r="B101" s="205" t="str">
        <f>_xlfn.XLOOKUP($A101,'(backend scoring)'!$V$2:$V$333,'(backend scoring)'!$A$2:$A$333,"")</f>
        <v>AIPL-03</v>
      </c>
      <c r="C101" s="205" t="str">
        <f>IFERROR(VLOOKUP($B101,'Institution Evaluation'!$A$55:$F$345,2,0),IFERROR(VLOOKUP($B101,'Privacy Analyst Evaluation'!$A$46:$F$120,2,0),""))&amp;""</f>
        <v>In the event of an incident, can your solution's AI features be disabled in a timely manner?*</v>
      </c>
      <c r="D101" s="205" t="str">
        <f>IFERROR(VLOOKUP($B101,'Institution Evaluation'!$A$55:$F$345,3,0),IFERROR(VLOOKUP($B101,'Privacy Analyst Evaluation'!$A$46:$F$120,3,0),""))&amp;""</f>
        <v>Yes</v>
      </c>
      <c r="E101" s="205" t="str">
        <f>IFERROR(VLOOKUP($B101,'Institution Evaluation'!$A$55:$F$345,4,0),IFERROR(VLOOKUP($B101,'Privacy Analyst Evaluation'!$A$46:$F$120,4,0),""))&amp;""</f>
        <v>AI-assisted capabilities are configuration-controlled and off by default, so they can be turned off promptly at tenant level, and access can be withdrawn from individual users through role-based access control. No AI capability operates autonomously, so disabling one does not interrupt preservation or access to content already held in the platform. Preservica maintains an Incident Management Policy supported by a cyber incident response plan with scenario-specific playbooks and a crisis management communications plan, with defined severity classification and escalation paths; a full response exercise is conducted at least annually.</v>
      </c>
      <c r="F101" s="205" t="str">
        <f>IFERROR(VLOOKUP($B101,'Institution Evaluation'!$A$55:$F$345,6,0),IFERROR(VLOOKUP($B101,'Privacy Analyst Evaluation'!$A$46:$F$120,6,0),""))&amp;""</f>
        <v/>
      </c>
      <c r="G101" s="206"/>
      <c r="H101" s="205" t="str">
        <f>IFERROR(IF($H100+1&gt;'(backend scoring)'!$Q$335,"",$H100+1),"")</f>
        <v/>
      </c>
      <c r="I101" s="205" t="str">
        <f>_xlfn.XLOOKUP($H101,'(backend scoring)'!$S$2:$S$333,'(backend scoring)'!$A$2:$A$333,"")</f>
        <v/>
      </c>
      <c r="J101" s="205" t="str">
        <f>IFERROR(VLOOKUP($I101,'Institution Evaluation'!$A$55:$F$345,2,0),IFERROR(VLOOKUP($I101,'Privacy Analyst Evaluation'!$A$46:$F$120,2,0),""))</f>
        <v/>
      </c>
      <c r="K101" s="205" t="str">
        <f>IFERROR(VLOOKUP($I101,'Institution Evaluation'!$A$55:$F$345,3,0),IFERROR(VLOOKUP($I101,'Privacy Analyst Evaluation'!$A$46:$F$120,3,0),""))&amp;""</f>
        <v/>
      </c>
      <c r="L101" s="205" t="str">
        <f>IFERROR(VLOOKUP($I101,'Institution Evaluation'!$A$55:$F$345,4,0),IFERROR(VLOOKUP($I101,'Privacy Analyst Evaluation'!$A$46:$F$120,4,0),""))&amp;""</f>
        <v/>
      </c>
      <c r="M101" s="205" t="str">
        <f>IFERROR(VLOOKUP($I101,'Institution Evaluation'!$A$55:$F$345,6,0),IFERROR(VLOOKUP($I101,'Privacy Analyst Evaluation'!$A$46:$F$120,6,0),""))&amp;""</f>
        <v/>
      </c>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row>
    <row r="102" spans="1:338" ht="345" x14ac:dyDescent="0.3">
      <c r="A102" s="205">
        <f>IFERROR(IF($A101+1&gt;'(backend scoring)'!$T$335,"",$A101+1),"")</f>
        <v>78</v>
      </c>
      <c r="B102" s="205" t="str">
        <f>_xlfn.XLOOKUP($A102,'(backend scoring)'!$V$2:$V$333,'(backend scoring)'!$A$2:$A$333,"")</f>
        <v>AIPL-04</v>
      </c>
      <c r="C102" s="205" t="str">
        <f>IFERROR(VLOOKUP($B102,'Institution Evaluation'!$A$55:$F$345,2,0),IFERROR(VLOOKUP($B102,'Privacy Analyst Evaluation'!$A$46:$F$120,2,0),""))&amp;""</f>
        <v>If disabled because of an incident, can your solution's AI features be re-enabled in a timely manner?*</v>
      </c>
      <c r="D102" s="205" t="str">
        <f>IFERROR(VLOOKUP($B102,'Institution Evaluation'!$A$55:$F$345,3,0),IFERROR(VLOOKUP($B102,'Privacy Analyst Evaluation'!$A$46:$F$120,3,0),""))&amp;""</f>
        <v>Yes</v>
      </c>
      <c r="E102" s="205" t="str">
        <f>IFERROR(VLOOKUP($B102,'Institution Evaluation'!$A$55:$F$345,4,0),IFERROR(VLOOKUP($B102,'Privacy Analyst Evaluation'!$A$46:$F$120,4,0),""))&amp;""</f>
        <v>Because AI-assisted capabilities are governed by configuration and role-based access control rather than by code changes, they can be re-enabled as promptly as they were disabled, once the conditions that prompted the change have been resolved. Preservica's incident management process requires root-cause analysis and a lessons-learned review within seven days of recovery, and findings from incidents and exercises are presented to the Leadership Team, so any re-enablement follows a documented review.</v>
      </c>
      <c r="F102" s="205" t="str">
        <f>IFERROR(VLOOKUP($B102,'Institution Evaluation'!$A$55:$F$345,6,0),IFERROR(VLOOKUP($B102,'Privacy Analyst Evaluation'!$A$46:$F$120,6,0),""))&amp;""</f>
        <v/>
      </c>
      <c r="G102" s="206"/>
      <c r="H102" s="205" t="str">
        <f>IFERROR(IF($H101+1&gt;'(backend scoring)'!$Q$335,"",$H101+1),"")</f>
        <v/>
      </c>
      <c r="I102" s="205" t="str">
        <f>_xlfn.XLOOKUP($H102,'(backend scoring)'!$S$2:$S$333,'(backend scoring)'!$A$2:$A$333,"")</f>
        <v/>
      </c>
      <c r="J102" s="205" t="str">
        <f>IFERROR(VLOOKUP($I102,'Institution Evaluation'!$A$55:$F$345,2,0),IFERROR(VLOOKUP($I102,'Privacy Analyst Evaluation'!$A$46:$F$120,2,0),""))</f>
        <v/>
      </c>
      <c r="K102" s="205" t="str">
        <f>IFERROR(VLOOKUP($I102,'Institution Evaluation'!$A$55:$F$345,3,0),IFERROR(VLOOKUP($I102,'Privacy Analyst Evaluation'!$A$46:$F$120,3,0),""))&amp;""</f>
        <v/>
      </c>
      <c r="L102" s="205" t="str">
        <f>IFERROR(VLOOKUP($I102,'Institution Evaluation'!$A$55:$F$345,4,0),IFERROR(VLOOKUP($I102,'Privacy Analyst Evaluation'!$A$46:$F$120,4,0),""))&amp;""</f>
        <v/>
      </c>
      <c r="M102" s="205" t="str">
        <f>IFERROR(VLOOKUP($I102,'Institution Evaluation'!$A$55:$F$345,6,0),IFERROR(VLOOKUP($I102,'Privacy Analyst Evaluation'!$A$46:$F$120,6,0),""))&amp;""</f>
        <v/>
      </c>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row>
    <row r="103" spans="1:338" ht="409.5" x14ac:dyDescent="0.3">
      <c r="A103" s="205">
        <f>IFERROR(IF($A102+1&gt;'(backend scoring)'!$T$335,"",$A102+1),"")</f>
        <v>79</v>
      </c>
      <c r="B103" s="205" t="str">
        <f>_xlfn.XLOOKUP($A103,'(backend scoring)'!$V$2:$V$333,'(backend scoring)'!$A$2:$A$333,"")</f>
        <v>AISC-01</v>
      </c>
      <c r="C103" s="205" t="str">
        <f>IFERROR(VLOOKUP($B103,'Institution Evaluation'!$A$55:$F$345,2,0),IFERROR(VLOOKUP($B103,'Privacy Analyst Evaluation'!$A$46:$F$120,2,0),""))&amp;""</f>
        <v>If sensitive data is introduced to your solution's AI model, can the data be removed from the AI model by request?*</v>
      </c>
      <c r="D103" s="205" t="str">
        <f>IFERROR(VLOOKUP($B103,'Institution Evaluation'!$A$55:$F$345,3,0),IFERROR(VLOOKUP($B103,'Privacy Analyst Evaluation'!$A$46:$F$120,3,0),""))&amp;""</f>
        <v>No</v>
      </c>
      <c r="E103" s="205" t="str">
        <f>IFERROR(VLOOKUP($B103,'Institution Evaluation'!$A$55:$F$345,4,0),IFERROR(VLOOKUP($B103,'Privacy Analyst Evaluation'!$A$46:$F$120,4,0),""))&amp;""</f>
        <v>No customer data is retained by any AI model Preservica uses. Customer data is never used to train or fine-tune any AI model; models are used for inference only, and prompts and outputs are not retained by the models for learning. There is therefore no model-resident copy of customer content from which data would need to be removed. Content submitted for AI processing, and any AI-generated output stored against it, remains customer data within the customer's own environment, subject to the customer's ownership and control and removable by the customer at any time in the same way as any other content.</v>
      </c>
      <c r="F103" s="205" t="str">
        <f>IFERROR(VLOOKUP($B103,'Institution Evaluation'!$A$55:$F$345,6,0),IFERROR(VLOOKUP($B103,'Privacy Analyst Evaluation'!$A$46:$F$120,6,0),""))&amp;""</f>
        <v/>
      </c>
      <c r="G103" s="206"/>
      <c r="H103" s="205" t="str">
        <f>IFERROR(IF($H102+1&gt;'(backend scoring)'!$Q$335,"",$H102+1),"")</f>
        <v/>
      </c>
      <c r="I103" s="205" t="str">
        <f>_xlfn.XLOOKUP($H103,'(backend scoring)'!$S$2:$S$333,'(backend scoring)'!$A$2:$A$333,"")</f>
        <v/>
      </c>
      <c r="J103" s="205" t="str">
        <f>IFERROR(VLOOKUP($I103,'Institution Evaluation'!$A$55:$F$345,2,0),IFERROR(VLOOKUP($I103,'Privacy Analyst Evaluation'!$A$46:$F$120,2,0),""))</f>
        <v/>
      </c>
      <c r="K103" s="205" t="str">
        <f>IFERROR(VLOOKUP($I103,'Institution Evaluation'!$A$55:$F$345,3,0),IFERROR(VLOOKUP($I103,'Privacy Analyst Evaluation'!$A$46:$F$120,3,0),""))&amp;""</f>
        <v/>
      </c>
      <c r="L103" s="205" t="str">
        <f>IFERROR(VLOOKUP($I103,'Institution Evaluation'!$A$55:$F$345,4,0),IFERROR(VLOOKUP($I103,'Privacy Analyst Evaluation'!$A$46:$F$120,4,0),""))&amp;""</f>
        <v/>
      </c>
      <c r="M103" s="205" t="str">
        <f>IFERROR(VLOOKUP($I103,'Institution Evaluation'!$A$55:$F$345,6,0),IFERROR(VLOOKUP($I103,'Privacy Analyst Evaluation'!$A$46:$F$120,6,0),""))&amp;""</f>
        <v/>
      </c>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row>
    <row r="104" spans="1:338" ht="315" x14ac:dyDescent="0.3">
      <c r="A104" s="205">
        <f>IFERROR(IF($A103+1&gt;'(backend scoring)'!$T$335,"",$A103+1),"")</f>
        <v>80</v>
      </c>
      <c r="B104" s="205" t="str">
        <f>_xlfn.XLOOKUP($A104,'(backend scoring)'!$V$2:$V$333,'(backend scoring)'!$A$2:$A$333,"")</f>
        <v>AISC-02</v>
      </c>
      <c r="C104" s="205" t="str">
        <f>IFERROR(VLOOKUP($B104,'Institution Evaluation'!$A$55:$F$345,2,0),IFERROR(VLOOKUP($B104,'Privacy Analyst Evaluation'!$A$46:$F$120,2,0),""))&amp;""</f>
        <v>Is user input data used to influence your solution's AI model?*</v>
      </c>
      <c r="D104" s="205" t="str">
        <f>IFERROR(VLOOKUP($B104,'Institution Evaluation'!$A$55:$F$345,3,0),IFERROR(VLOOKUP($B104,'Privacy Analyst Evaluation'!$A$46:$F$120,3,0),""))&amp;""</f>
        <v>No</v>
      </c>
      <c r="E104" s="205" t="str">
        <f>IFERROR(VLOOKUP($B104,'Institution Evaluation'!$A$55:$F$345,4,0),IFERROR(VLOOKUP($B104,'Privacy Analyst Evaluation'!$A$46:$F$120,4,0),""))&amp;""</f>
        <v>Customer data is not used to train or fine-tune any AI model Preservica uses. Models are used for inference only, and prompts and outputs are not retained by the models for learning. The models are pre-trained by their original providers or open-source projects before Preservica integrates them, and Preservica neither controls nor supplements those training datasets. There is no feedback loop by which customer content or user activity influences model behaviour.</v>
      </c>
      <c r="F104" s="205" t="str">
        <f>IFERROR(VLOOKUP($B104,'Institution Evaluation'!$A$55:$F$345,6,0),IFERROR(VLOOKUP($B104,'Privacy Analyst Evaluation'!$A$46:$F$120,6,0),""))&amp;""</f>
        <v/>
      </c>
      <c r="G104" s="206"/>
      <c r="H104" s="205" t="str">
        <f>IFERROR(IF($H103+1&gt;'(backend scoring)'!$Q$335,"",$H103+1),"")</f>
        <v/>
      </c>
      <c r="I104" s="205" t="str">
        <f>_xlfn.XLOOKUP($H104,'(backend scoring)'!$S$2:$S$333,'(backend scoring)'!$A$2:$A$333,"")</f>
        <v/>
      </c>
      <c r="J104" s="205" t="str">
        <f>IFERROR(VLOOKUP($I104,'Institution Evaluation'!$A$55:$F$345,2,0),IFERROR(VLOOKUP($I104,'Privacy Analyst Evaluation'!$A$46:$F$120,2,0),""))</f>
        <v/>
      </c>
      <c r="K104" s="205" t="str">
        <f>IFERROR(VLOOKUP($I104,'Institution Evaluation'!$A$55:$F$345,3,0),IFERROR(VLOOKUP($I104,'Privacy Analyst Evaluation'!$A$46:$F$120,3,0),""))&amp;""</f>
        <v/>
      </c>
      <c r="L104" s="205" t="str">
        <f>IFERROR(VLOOKUP($I104,'Institution Evaluation'!$A$55:$F$345,4,0),IFERROR(VLOOKUP($I104,'Privacy Analyst Evaluation'!$A$46:$F$120,4,0),""))&amp;""</f>
        <v/>
      </c>
      <c r="M104" s="205" t="str">
        <f>IFERROR(VLOOKUP($I104,'Institution Evaluation'!$A$55:$F$345,6,0),IFERROR(VLOOKUP($I104,'Privacy Analyst Evaluation'!$A$46:$F$120,6,0),""))&amp;""</f>
        <v/>
      </c>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row>
    <row r="105" spans="1:338" ht="409.5" x14ac:dyDescent="0.3">
      <c r="A105" s="205">
        <f>IFERROR(IF($A104+1&gt;'(backend scoring)'!$T$335,"",$A104+1),"")</f>
        <v>81</v>
      </c>
      <c r="B105" s="205" t="str">
        <f>_xlfn.XLOOKUP($A105,'(backend scoring)'!$V$2:$V$333,'(backend scoring)'!$A$2:$A$333,"")</f>
        <v>AISC-03</v>
      </c>
      <c r="C105" s="205" t="str">
        <f>IFERROR(VLOOKUP($B105,'Institution Evaluation'!$A$55:$F$345,2,0),IFERROR(VLOOKUP($B105,'Privacy Analyst Evaluation'!$A$46:$F$120,2,0),""))&amp;""</f>
        <v>Do you provide logging for your solution's AI feature(s) that includes user, date, and action taken?*</v>
      </c>
      <c r="D105" s="205" t="str">
        <f>IFERROR(VLOOKUP($B105,'Institution Evaluation'!$A$55:$F$345,3,0),IFERROR(VLOOKUP($B105,'Privacy Analyst Evaluation'!$A$46:$F$120,3,0),""))&amp;""</f>
        <v>Yes</v>
      </c>
      <c r="E105" s="205" t="str">
        <f>IFERROR(VLOOKUP($B105,'Institution Evaluation'!$A$55:$F$345,4,0),IFERROR(VLOOKUP($B105,'Privacy Analyst Evaluation'!$A$46:$F$120,4,0),""))&amp;""</f>
        <v>Any changes to entities are logged within the existing Event history of an entity which captures all and any changes made to it (AI or otherwise), is retained alongside the entity (for however long it exists), and is immutable AI actions run by a specific user on content already in the system are logged with a date, username, and action taken (e.g. MetadataClustering and MetadataCluster Edit for Metadata quality check). AI actions applied automatically on ingest (based on a privileged user configuring their Enrichment policy to do so) are logged within the same report as part of ingest actions without explicitly being labelled as AI, with a date, action and username of the user who configured the ingest workflow, not necessarily the user who ingested the content.</v>
      </c>
      <c r="F105" s="205" t="str">
        <f>IFERROR(VLOOKUP($B105,'Institution Evaluation'!$A$55:$F$345,6,0),IFERROR(VLOOKUP($B105,'Privacy Analyst Evaluation'!$A$46:$F$120,6,0),""))&amp;""</f>
        <v/>
      </c>
      <c r="G105" s="206"/>
      <c r="H105" s="205" t="str">
        <f>IFERROR(IF($H104+1&gt;'(backend scoring)'!$Q$335,"",$H104+1),"")</f>
        <v/>
      </c>
      <c r="I105" s="205" t="str">
        <f>_xlfn.XLOOKUP($H105,'(backend scoring)'!$S$2:$S$333,'(backend scoring)'!$A$2:$A$333,"")</f>
        <v/>
      </c>
      <c r="J105" s="205" t="str">
        <f>IFERROR(VLOOKUP($I105,'Institution Evaluation'!$A$55:$F$345,2,0),IFERROR(VLOOKUP($I105,'Privacy Analyst Evaluation'!$A$46:$F$120,2,0),""))</f>
        <v/>
      </c>
      <c r="K105" s="205" t="str">
        <f>IFERROR(VLOOKUP($I105,'Institution Evaluation'!$A$55:$F$345,3,0),IFERROR(VLOOKUP($I105,'Privacy Analyst Evaluation'!$A$46:$F$120,3,0),""))&amp;""</f>
        <v/>
      </c>
      <c r="L105" s="205" t="str">
        <f>IFERROR(VLOOKUP($I105,'Institution Evaluation'!$A$55:$F$345,4,0),IFERROR(VLOOKUP($I105,'Privacy Analyst Evaluation'!$A$46:$F$120,4,0),""))&amp;""</f>
        <v/>
      </c>
      <c r="M105" s="205" t="str">
        <f>IFERROR(VLOOKUP($I105,'Institution Evaluation'!$A$55:$F$345,6,0),IFERROR(VLOOKUP($I105,'Privacy Analyst Evaluation'!$A$46:$F$120,6,0),""))&amp;""</f>
        <v/>
      </c>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row>
    <row r="106" spans="1:338" ht="315" x14ac:dyDescent="0.3">
      <c r="A106" s="205">
        <f>IFERROR(IF($A105+1&gt;'(backend scoring)'!$T$335,"",$A105+1),"")</f>
        <v>82</v>
      </c>
      <c r="B106" s="205" t="str">
        <f>_xlfn.XLOOKUP($A106,'(backend scoring)'!$V$2:$V$333,'(backend scoring)'!$A$2:$A$333,"")</f>
        <v>AIML-01</v>
      </c>
      <c r="C106" s="205" t="str">
        <f>IFERROR(VLOOKUP($B106,'Institution Evaluation'!$A$55:$F$345,2,0),IFERROR(VLOOKUP($B106,'Privacy Analyst Evaluation'!$A$46:$F$120,2,0),""))&amp;""</f>
        <v>Do you separate ML training data from your ML solution data?*</v>
      </c>
      <c r="D106" s="205" t="str">
        <f>IFERROR(VLOOKUP($B106,'Institution Evaluation'!$A$55:$F$345,3,0),IFERROR(VLOOKUP($B106,'Privacy Analyst Evaluation'!$A$46:$F$120,3,0),""))&amp;""</f>
        <v>No</v>
      </c>
      <c r="E106" s="205" t="str">
        <f>IFERROR(VLOOKUP($B106,'Institution Evaluation'!$A$55:$F$345,4,0),IFERROR(VLOOKUP($B106,'Privacy Analyst Evaluation'!$A$46:$F$120,4,0),""))&amp;""</f>
        <v>Preservica does not train or fine-tune any machine learning model and therefore holds no machine learning training data to separate. The models underpinning Preservica's AI-assisted capabilities are pre-trained by their original providers or by open-source projects before Preservica integrates them, and Preservica neither controls nor supplements those training datasets. Customer data is never used to train or fine-tune any model; models are used for inference only.</v>
      </c>
      <c r="F106" s="205" t="str">
        <f>IFERROR(VLOOKUP($B106,'Institution Evaluation'!$A$55:$F$345,6,0),IFERROR(VLOOKUP($B106,'Privacy Analyst Evaluation'!$A$46:$F$120,6,0),""))&amp;""</f>
        <v/>
      </c>
      <c r="G106" s="206"/>
      <c r="H106" s="205" t="str">
        <f>IFERROR(IF($H105+1&gt;'(backend scoring)'!$Q$335,"",$H105+1),"")</f>
        <v/>
      </c>
      <c r="I106" s="205" t="str">
        <f>_xlfn.XLOOKUP($H106,'(backend scoring)'!$S$2:$S$333,'(backend scoring)'!$A$2:$A$333,"")</f>
        <v/>
      </c>
      <c r="J106" s="205" t="str">
        <f>IFERROR(VLOOKUP($I106,'Institution Evaluation'!$A$55:$F$345,2,0),IFERROR(VLOOKUP($I106,'Privacy Analyst Evaluation'!$A$46:$F$120,2,0),""))</f>
        <v/>
      </c>
      <c r="K106" s="205" t="str">
        <f>IFERROR(VLOOKUP($I106,'Institution Evaluation'!$A$55:$F$345,3,0),IFERROR(VLOOKUP($I106,'Privacy Analyst Evaluation'!$A$46:$F$120,3,0),""))&amp;""</f>
        <v/>
      </c>
      <c r="L106" s="205" t="str">
        <f>IFERROR(VLOOKUP($I106,'Institution Evaluation'!$A$55:$F$345,4,0),IFERROR(VLOOKUP($I106,'Privacy Analyst Evaluation'!$A$46:$F$120,4,0),""))&amp;""</f>
        <v/>
      </c>
      <c r="M106" s="205" t="str">
        <f>IFERROR(VLOOKUP($I106,'Institution Evaluation'!$A$55:$F$345,6,0),IFERROR(VLOOKUP($I106,'Privacy Analyst Evaluation'!$A$46:$F$120,6,0),""))&amp;""</f>
        <v/>
      </c>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row>
    <row r="107" spans="1:338" ht="409.5" x14ac:dyDescent="0.3">
      <c r="A107" s="205">
        <f>IFERROR(IF($A106+1&gt;'(backend scoring)'!$T$335,"",$A106+1),"")</f>
        <v>83</v>
      </c>
      <c r="B107" s="205" t="str">
        <f>_xlfn.XLOOKUP($A107,'(backend scoring)'!$V$2:$V$333,'(backend scoring)'!$A$2:$A$333,"")</f>
        <v>AIML-02</v>
      </c>
      <c r="C107" s="205" t="str">
        <f>IFERROR(VLOOKUP($B107,'Institution Evaluation'!$A$55:$F$345,2,0),IFERROR(VLOOKUP($B107,'Privacy Analyst Evaluation'!$A$46:$F$120,2,0),""))&amp;""</f>
        <v>Do you authenticate and verify your ML model's feedback?*</v>
      </c>
      <c r="D107" s="205" t="str">
        <f>IFERROR(VLOOKUP($B107,'Institution Evaluation'!$A$55:$F$345,3,0),IFERROR(VLOOKUP($B107,'Privacy Analyst Evaluation'!$A$46:$F$120,3,0),""))&amp;""</f>
        <v>Yes</v>
      </c>
      <c r="E107" s="205" t="str">
        <f>IFERROR(VLOOKUP($B107,'Institution Evaluation'!$A$55:$F$345,4,0),IFERROR(VLOOKUP($B107,'Privacy Analyst Evaluation'!$A$46:$F$120,4,0),""))&amp;""</f>
        <v>There is no automated feedback loop from Preservica's AI-assisted capabilities into model behaviour — models are used for inference only and are not retrained or tuned on their own outputs or on user interaction. Model outputs are presented to the customer for human review and are not acted on autonomously, so verification of AI output rests with a named, authenticated user acting within their assigned role. Preservica maintains human oversight of AI outputs as an obligation of its role as a Deployer of AI systems under Regulation (EU) 2024/1689, and AI-assisted capabilities are covered by Preservica's continuous application security testing programme, including static analysis at every pull request and dynamic testing as a release gate.</v>
      </c>
      <c r="F107" s="205" t="str">
        <f>IFERROR(VLOOKUP($B107,'Institution Evaluation'!$A$55:$F$345,6,0),IFERROR(VLOOKUP($B107,'Privacy Analyst Evaluation'!$A$46:$F$120,6,0),""))&amp;""</f>
        <v/>
      </c>
      <c r="G107" s="206"/>
      <c r="H107" s="205" t="str">
        <f>IFERROR(IF($H106+1&gt;'(backend scoring)'!$Q$335,"",$H106+1),"")</f>
        <v/>
      </c>
      <c r="I107" s="205" t="str">
        <f>_xlfn.XLOOKUP($H107,'(backend scoring)'!$S$2:$S$333,'(backend scoring)'!$A$2:$A$333,"")</f>
        <v/>
      </c>
      <c r="J107" s="205" t="str">
        <f>IFERROR(VLOOKUP($I107,'Institution Evaluation'!$A$55:$F$345,2,0),IFERROR(VLOOKUP($I107,'Privacy Analyst Evaluation'!$A$46:$F$120,2,0),""))</f>
        <v/>
      </c>
      <c r="K107" s="205" t="str">
        <f>IFERROR(VLOOKUP($I107,'Institution Evaluation'!$A$55:$F$345,3,0),IFERROR(VLOOKUP($I107,'Privacy Analyst Evaluation'!$A$46:$F$120,3,0),""))&amp;""</f>
        <v/>
      </c>
      <c r="L107" s="205" t="str">
        <f>IFERROR(VLOOKUP($I107,'Institution Evaluation'!$A$55:$F$345,4,0),IFERROR(VLOOKUP($I107,'Privacy Analyst Evaluation'!$A$46:$F$120,4,0),""))&amp;""</f>
        <v/>
      </c>
      <c r="M107" s="205" t="str">
        <f>IFERROR(VLOOKUP($I107,'Institution Evaluation'!$A$55:$F$345,6,0),IFERROR(VLOOKUP($I107,'Privacy Analyst Evaluation'!$A$46:$F$120,6,0),""))&amp;""</f>
        <v/>
      </c>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row>
    <row r="108" spans="1:338" ht="30" x14ac:dyDescent="0.3">
      <c r="A108" s="205">
        <f>IFERROR(IF($A107+1&gt;'(backend scoring)'!$T$335,"",$A107+1),"")</f>
        <v>84</v>
      </c>
      <c r="B108" s="205" t="str">
        <f>_xlfn.XLOOKUP($A108,'(backend scoring)'!$V$2:$V$333,'(backend scoring)'!$A$2:$A$333,"")</f>
        <v>AILM-01</v>
      </c>
      <c r="C108" s="205" t="str">
        <f>IFERROR(VLOOKUP($B108,'Institution Evaluation'!$A$55:$F$345,2,0),IFERROR(VLOOKUP($B108,'Privacy Analyst Evaluation'!$A$46:$F$120,2,0),""))&amp;""</f>
        <v>Do you limit your solution's LLM privileges by default?*</v>
      </c>
      <c r="D108" s="205" t="str">
        <f>IFERROR(VLOOKUP($B108,'Institution Evaluation'!$A$55:$F$345,3,0),IFERROR(VLOOKUP($B108,'Privacy Analyst Evaluation'!$A$46:$F$120,3,0),""))&amp;""</f>
        <v>No</v>
      </c>
      <c r="E108" s="205" t="str">
        <f>IFERROR(VLOOKUP($B108,'Institution Evaluation'!$A$55:$F$345,4,0),IFERROR(VLOOKUP($B108,'Privacy Analyst Evaluation'!$A$46:$F$120,4,0),""))&amp;""</f>
        <v>This question does not apply.</v>
      </c>
      <c r="F108" s="205" t="str">
        <f>IFERROR(VLOOKUP($B108,'Institution Evaluation'!$A$55:$F$345,6,0),IFERROR(VLOOKUP($B108,'Privacy Analyst Evaluation'!$A$46:$F$120,6,0),""))&amp;""</f>
        <v/>
      </c>
      <c r="G108" s="206"/>
      <c r="H108" s="205" t="str">
        <f>IFERROR(IF($H107+1&gt;'(backend scoring)'!$Q$335,"",$H107+1),"")</f>
        <v/>
      </c>
      <c r="I108" s="205" t="str">
        <f>_xlfn.XLOOKUP($H108,'(backend scoring)'!$S$2:$S$333,'(backend scoring)'!$A$2:$A$333,"")</f>
        <v/>
      </c>
      <c r="J108" s="205" t="str">
        <f>IFERROR(VLOOKUP($I108,'Institution Evaluation'!$A$55:$F$345,2,0),IFERROR(VLOOKUP($I108,'Privacy Analyst Evaluation'!$A$46:$F$120,2,0),""))</f>
        <v/>
      </c>
      <c r="K108" s="205" t="str">
        <f>IFERROR(VLOOKUP($I108,'Institution Evaluation'!$A$55:$F$345,3,0),IFERROR(VLOOKUP($I108,'Privacy Analyst Evaluation'!$A$46:$F$120,3,0),""))&amp;""</f>
        <v/>
      </c>
      <c r="L108" s="205" t="str">
        <f>IFERROR(VLOOKUP($I108,'Institution Evaluation'!$A$55:$F$345,4,0),IFERROR(VLOOKUP($I108,'Privacy Analyst Evaluation'!$A$46:$F$120,4,0),""))&amp;""</f>
        <v/>
      </c>
      <c r="M108" s="205" t="str">
        <f>IFERROR(VLOOKUP($I108,'Institution Evaluation'!$A$55:$F$345,6,0),IFERROR(VLOOKUP($I108,'Privacy Analyst Evaluation'!$A$46:$F$120,6,0),""))&amp;""</f>
        <v/>
      </c>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row>
    <row r="109" spans="1:338" ht="60" x14ac:dyDescent="0.3">
      <c r="A109" s="205">
        <f>IFERROR(IF($A108+1&gt;'(backend scoring)'!$T$335,"",$A108+1),"")</f>
        <v>85</v>
      </c>
      <c r="B109" s="205" t="str">
        <f>_xlfn.XLOOKUP($A109,'(backend scoring)'!$V$2:$V$333,'(backend scoring)'!$A$2:$A$333,"")</f>
        <v>AILM-02</v>
      </c>
      <c r="C109" s="205" t="str">
        <f>IFERROR(VLOOKUP($B109,'Institution Evaluation'!$A$55:$F$345,2,0),IFERROR(VLOOKUP($B109,'Privacy Analyst Evaluation'!$A$46:$F$120,2,0),""))&amp;""</f>
        <v>Is your LLM training data vetted, validated, and verified before training the solution's AI model?*</v>
      </c>
      <c r="D109" s="205" t="str">
        <f>IFERROR(VLOOKUP($B109,'Institution Evaluation'!$A$55:$F$345,3,0),IFERROR(VLOOKUP($B109,'Privacy Analyst Evaluation'!$A$46:$F$120,3,0),""))&amp;""</f>
        <v>No</v>
      </c>
      <c r="E109" s="205" t="str">
        <f>IFERROR(VLOOKUP($B109,'Institution Evaluation'!$A$55:$F$345,4,0),IFERROR(VLOOKUP($B109,'Privacy Analyst Evaluation'!$A$46:$F$120,4,0),""))&amp;""</f>
        <v>This question does not apply.</v>
      </c>
      <c r="F109" s="205" t="str">
        <f>IFERROR(VLOOKUP($B109,'Institution Evaluation'!$A$55:$F$345,6,0),IFERROR(VLOOKUP($B109,'Privacy Analyst Evaluation'!$A$46:$F$120,6,0),""))&amp;""</f>
        <v/>
      </c>
      <c r="G109" s="206"/>
      <c r="H109" s="205" t="str">
        <f>IFERROR(IF($H108+1&gt;'(backend scoring)'!$Q$335,"",$H108+1),"")</f>
        <v/>
      </c>
      <c r="I109" s="205" t="str">
        <f>_xlfn.XLOOKUP($H109,'(backend scoring)'!$S$2:$S$333,'(backend scoring)'!$A$2:$A$333,"")</f>
        <v/>
      </c>
      <c r="J109" s="205" t="str">
        <f>IFERROR(VLOOKUP($I109,'Institution Evaluation'!$A$55:$F$345,2,0),IFERROR(VLOOKUP($I109,'Privacy Analyst Evaluation'!$A$46:$F$120,2,0),""))</f>
        <v/>
      </c>
      <c r="K109" s="205" t="str">
        <f>IFERROR(VLOOKUP($I109,'Institution Evaluation'!$A$55:$F$345,3,0),IFERROR(VLOOKUP($I109,'Privacy Analyst Evaluation'!$A$46:$F$120,3,0),""))&amp;""</f>
        <v/>
      </c>
      <c r="L109" s="205" t="str">
        <f>IFERROR(VLOOKUP($I109,'Institution Evaluation'!$A$55:$F$345,4,0),IFERROR(VLOOKUP($I109,'Privacy Analyst Evaluation'!$A$46:$F$120,4,0),""))&amp;""</f>
        <v/>
      </c>
      <c r="M109" s="205" t="str">
        <f>IFERROR(VLOOKUP($I109,'Institution Evaluation'!$A$55:$F$345,6,0),IFERROR(VLOOKUP($I109,'Privacy Analyst Evaluation'!$A$46:$F$120,6,0),""))&amp;""</f>
        <v/>
      </c>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row>
    <row r="110" spans="1:338" ht="45" x14ac:dyDescent="0.3">
      <c r="A110" s="205">
        <f>IFERROR(IF($A109+1&gt;'(backend scoring)'!$T$335,"",$A109+1),"")</f>
        <v>86</v>
      </c>
      <c r="B110" s="205" t="str">
        <f>_xlfn.XLOOKUP($A110,'(backend scoring)'!$V$2:$V$333,'(backend scoring)'!$A$2:$A$333,"")</f>
        <v>AILM-03</v>
      </c>
      <c r="C110" s="205" t="str">
        <f>IFERROR(VLOOKUP($B110,'Institution Evaluation'!$A$55:$F$345,2,0),IFERROR(VLOOKUP($B110,'Privacy Analyst Evaluation'!$A$46:$F$120,2,0),""))&amp;""</f>
        <v>Do any actions taken by your solution's LLM features or plugins require human intervention?*</v>
      </c>
      <c r="D110" s="205" t="str">
        <f>IFERROR(VLOOKUP($B110,'Institution Evaluation'!$A$55:$F$345,3,0),IFERROR(VLOOKUP($B110,'Privacy Analyst Evaluation'!$A$46:$F$120,3,0),""))&amp;""</f>
        <v>No</v>
      </c>
      <c r="E110" s="205" t="str">
        <f>IFERROR(VLOOKUP($B110,'Institution Evaluation'!$A$55:$F$345,4,0),IFERROR(VLOOKUP($B110,'Privacy Analyst Evaluation'!$A$46:$F$120,4,0),""))&amp;""</f>
        <v>This question does not apply.</v>
      </c>
      <c r="F110" s="205" t="str">
        <f>IFERROR(VLOOKUP($B110,'Institution Evaluation'!$A$55:$F$345,6,0),IFERROR(VLOOKUP($B110,'Privacy Analyst Evaluation'!$A$46:$F$120,6,0),""))&amp;""</f>
        <v/>
      </c>
      <c r="G110" s="206"/>
      <c r="H110" s="205" t="str">
        <f>IFERROR(IF($H109+1&gt;'(backend scoring)'!$Q$335,"",$H109+1),"")</f>
        <v/>
      </c>
      <c r="I110" s="205" t="str">
        <f>_xlfn.XLOOKUP($H110,'(backend scoring)'!$S$2:$S$333,'(backend scoring)'!$A$2:$A$333,"")</f>
        <v/>
      </c>
      <c r="J110" s="205" t="str">
        <f>IFERROR(VLOOKUP($I110,'Institution Evaluation'!$A$55:$F$345,2,0),IFERROR(VLOOKUP($I110,'Privacy Analyst Evaluation'!$A$46:$F$120,2,0),""))</f>
        <v/>
      </c>
      <c r="K110" s="205" t="str">
        <f>IFERROR(VLOOKUP($I110,'Institution Evaluation'!$A$55:$F$345,3,0),IFERROR(VLOOKUP($I110,'Privacy Analyst Evaluation'!$A$46:$F$120,3,0),""))&amp;""</f>
        <v/>
      </c>
      <c r="L110" s="205" t="str">
        <f>IFERROR(VLOOKUP($I110,'Institution Evaluation'!$A$55:$F$345,4,0),IFERROR(VLOOKUP($I110,'Privacy Analyst Evaluation'!$A$46:$F$120,4,0),""))&amp;""</f>
        <v/>
      </c>
      <c r="M110" s="205" t="str">
        <f>IFERROR(VLOOKUP($I110,'Institution Evaluation'!$A$55:$F$345,6,0),IFERROR(VLOOKUP($I110,'Privacy Analyst Evaluation'!$A$46:$F$120,6,0),""))&amp;""</f>
        <v/>
      </c>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row>
    <row r="111" spans="1:338" ht="45" x14ac:dyDescent="0.3">
      <c r="A111" s="205">
        <f>IFERROR(IF($A110+1&gt;'(backend scoring)'!$T$335,"",$A110+1),"")</f>
        <v>87</v>
      </c>
      <c r="B111" s="205" t="str">
        <f>_xlfn.XLOOKUP($A111,'(backend scoring)'!$V$2:$V$333,'(backend scoring)'!$A$2:$A$333,"")</f>
        <v>AILM-04</v>
      </c>
      <c r="C111" s="205" t="str">
        <f>IFERROR(VLOOKUP($B111,'Institution Evaluation'!$A$55:$F$345,2,0),IFERROR(VLOOKUP($B111,'Privacy Analyst Evaluation'!$A$46:$F$120,2,0),""))&amp;""</f>
        <v>Do you limit multiple LLM model plugins being called as part of a single input?*</v>
      </c>
      <c r="D111" s="205" t="str">
        <f>IFERROR(VLOOKUP($B111,'Institution Evaluation'!$A$55:$F$345,3,0),IFERROR(VLOOKUP($B111,'Privacy Analyst Evaluation'!$A$46:$F$120,3,0),""))&amp;""</f>
        <v>No</v>
      </c>
      <c r="E111" s="205" t="str">
        <f>IFERROR(VLOOKUP($B111,'Institution Evaluation'!$A$55:$F$345,4,0),IFERROR(VLOOKUP($B111,'Privacy Analyst Evaluation'!$A$46:$F$120,4,0),""))&amp;""</f>
        <v>This question does not apply.</v>
      </c>
      <c r="F111" s="205" t="str">
        <f>IFERROR(VLOOKUP($B111,'Institution Evaluation'!$A$55:$F$345,6,0),IFERROR(VLOOKUP($B111,'Privacy Analyst Evaluation'!$A$46:$F$120,6,0),""))&amp;""</f>
        <v/>
      </c>
      <c r="G111" s="206"/>
      <c r="H111" s="205" t="str">
        <f>IFERROR(IF($H110+1&gt;'(backend scoring)'!$Q$335,"",$H110+1),"")</f>
        <v/>
      </c>
      <c r="I111" s="205" t="str">
        <f>_xlfn.XLOOKUP($H111,'(backend scoring)'!$S$2:$S$333,'(backend scoring)'!$A$2:$A$333,"")</f>
        <v/>
      </c>
      <c r="J111" s="205" t="str">
        <f>IFERROR(VLOOKUP($I111,'Institution Evaluation'!$A$55:$F$345,2,0),IFERROR(VLOOKUP($I111,'Privacy Analyst Evaluation'!$A$46:$F$120,2,0),""))</f>
        <v/>
      </c>
      <c r="K111" s="205" t="str">
        <f>IFERROR(VLOOKUP($I111,'Institution Evaluation'!$A$55:$F$345,3,0),IFERROR(VLOOKUP($I111,'Privacy Analyst Evaluation'!$A$46:$F$120,3,0),""))&amp;""</f>
        <v/>
      </c>
      <c r="L111" s="205" t="str">
        <f>IFERROR(VLOOKUP($I111,'Institution Evaluation'!$A$55:$F$345,4,0),IFERROR(VLOOKUP($I111,'Privacy Analyst Evaluation'!$A$46:$F$120,4,0),""))&amp;""</f>
        <v/>
      </c>
      <c r="M111" s="205" t="str">
        <f>IFERROR(VLOOKUP($I111,'Institution Evaluation'!$A$55:$F$345,6,0),IFERROR(VLOOKUP($I111,'Privacy Analyst Evaluation'!$A$46:$F$120,6,0),""))&amp;""</f>
        <v/>
      </c>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row>
    <row r="112" spans="1:338" x14ac:dyDescent="0.3">
      <c r="A112" s="205" t="str">
        <f>IFERROR(IF($A111+1&gt;'(backend scoring)'!$T$335,"",$A111+1),"")</f>
        <v/>
      </c>
      <c r="B112" s="205" t="str">
        <f>_xlfn.XLOOKUP($A112,'(backend scoring)'!$V$2:$V$333,'(backend scoring)'!$A$2:$A$333,"")</f>
        <v/>
      </c>
      <c r="C112" s="205" t="str">
        <f>IFERROR(VLOOKUP($B112,'Institution Evaluation'!$A$55:$F$345,2,0),IFERROR(VLOOKUP($B112,'Privacy Analyst Evaluation'!$A$46:$F$120,2,0),""))&amp;""</f>
        <v/>
      </c>
      <c r="D112" s="205" t="str">
        <f>IFERROR(VLOOKUP($B112,'Institution Evaluation'!$A$55:$F$345,3,0),IFERROR(VLOOKUP($B112,'Privacy Analyst Evaluation'!$A$46:$F$120,3,0),""))&amp;""</f>
        <v/>
      </c>
      <c r="E112" s="205" t="str">
        <f>IFERROR(VLOOKUP($B112,'Institution Evaluation'!$A$55:$F$345,4,0),IFERROR(VLOOKUP($B112,'Privacy Analyst Evaluation'!$A$46:$F$120,4,0),""))&amp;""</f>
        <v/>
      </c>
      <c r="F112" s="205" t="str">
        <f>IFERROR(VLOOKUP($B112,'Institution Evaluation'!$A$55:$F$345,6,0),IFERROR(VLOOKUP($B112,'Privacy Analyst Evaluation'!$A$46:$F$120,6,0),""))&amp;""</f>
        <v/>
      </c>
      <c r="G112" s="206"/>
      <c r="H112" s="205" t="str">
        <f>IFERROR(IF($H111+1&gt;'(backend scoring)'!$Q$335,"",$H111+1),"")</f>
        <v/>
      </c>
      <c r="I112" s="205" t="str">
        <f>_xlfn.XLOOKUP($H112,'(backend scoring)'!$S$2:$S$333,'(backend scoring)'!$A$2:$A$333,"")</f>
        <v/>
      </c>
      <c r="J112" s="205" t="str">
        <f>IFERROR(VLOOKUP($I112,'Institution Evaluation'!$A$55:$F$345,2,0),IFERROR(VLOOKUP($I112,'Privacy Analyst Evaluation'!$A$46:$F$120,2,0),""))</f>
        <v/>
      </c>
      <c r="K112" s="205" t="str">
        <f>IFERROR(VLOOKUP($I112,'Institution Evaluation'!$A$55:$F$345,3,0),IFERROR(VLOOKUP($I112,'Privacy Analyst Evaluation'!$A$46:$F$120,3,0),""))&amp;""</f>
        <v/>
      </c>
      <c r="L112" s="205" t="str">
        <f>IFERROR(VLOOKUP($I112,'Institution Evaluation'!$A$55:$F$345,4,0),IFERROR(VLOOKUP($I112,'Privacy Analyst Evaluation'!$A$46:$F$120,4,0),""))&amp;""</f>
        <v/>
      </c>
      <c r="M112" s="205" t="str">
        <f>IFERROR(VLOOKUP($I112,'Institution Evaluation'!$A$55:$F$345,6,0),IFERROR(VLOOKUP($I112,'Privacy Analyst Evaluation'!$A$46:$F$120,6,0),""))&amp;""</f>
        <v/>
      </c>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row>
    <row r="113" spans="1:338" x14ac:dyDescent="0.3">
      <c r="A113" s="205" t="str">
        <f>IFERROR(IF($A112+1&gt;'(backend scoring)'!$T$335,"",$A112+1),"")</f>
        <v/>
      </c>
      <c r="B113" s="205" t="str">
        <f>_xlfn.XLOOKUP($A113,'(backend scoring)'!$V$2:$V$333,'(backend scoring)'!$A$2:$A$333,"")</f>
        <v/>
      </c>
      <c r="C113" s="205" t="str">
        <f>IFERROR(VLOOKUP($B113,'Institution Evaluation'!$A$55:$F$345,2,0),IFERROR(VLOOKUP($B113,'Privacy Analyst Evaluation'!$A$46:$F$120,2,0),""))&amp;""</f>
        <v/>
      </c>
      <c r="D113" s="205" t="str">
        <f>IFERROR(VLOOKUP($B113,'Institution Evaluation'!$A$55:$F$345,3,0),IFERROR(VLOOKUP($B113,'Privacy Analyst Evaluation'!$A$46:$F$120,3,0),""))&amp;""</f>
        <v/>
      </c>
      <c r="E113" s="205" t="str">
        <f>IFERROR(VLOOKUP($B113,'Institution Evaluation'!$A$55:$F$345,4,0),IFERROR(VLOOKUP($B113,'Privacy Analyst Evaluation'!$A$46:$F$120,4,0),""))&amp;""</f>
        <v/>
      </c>
      <c r="F113" s="205" t="str">
        <f>IFERROR(VLOOKUP($B113,'Institution Evaluation'!$A$55:$F$345,6,0),IFERROR(VLOOKUP($B113,'Privacy Analyst Evaluation'!$A$46:$F$120,6,0),""))&amp;""</f>
        <v/>
      </c>
      <c r="G113" s="206"/>
      <c r="H113" s="205" t="str">
        <f>IFERROR(IF($H112+1&gt;'(backend scoring)'!$Q$335,"",$H112+1),"")</f>
        <v/>
      </c>
      <c r="I113" s="205" t="str">
        <f>_xlfn.XLOOKUP($H113,'(backend scoring)'!$S$2:$S$333,'(backend scoring)'!$A$2:$A$333,"")</f>
        <v/>
      </c>
      <c r="J113" s="205" t="str">
        <f>IFERROR(VLOOKUP($I113,'Institution Evaluation'!$A$55:$F$345,2,0),IFERROR(VLOOKUP($I113,'Privacy Analyst Evaluation'!$A$46:$F$120,2,0),""))</f>
        <v/>
      </c>
      <c r="K113" s="205" t="str">
        <f>IFERROR(VLOOKUP($I113,'Institution Evaluation'!$A$55:$F$345,3,0),IFERROR(VLOOKUP($I113,'Privacy Analyst Evaluation'!$A$46:$F$120,3,0),""))&amp;""</f>
        <v/>
      </c>
      <c r="L113" s="205" t="str">
        <f>IFERROR(VLOOKUP($I113,'Institution Evaluation'!$A$55:$F$345,4,0),IFERROR(VLOOKUP($I113,'Privacy Analyst Evaluation'!$A$46:$F$120,4,0),""))&amp;""</f>
        <v/>
      </c>
      <c r="M113" s="205" t="str">
        <f>IFERROR(VLOOKUP($I113,'Institution Evaluation'!$A$55:$F$345,6,0),IFERROR(VLOOKUP($I113,'Privacy Analyst Evaluation'!$A$46:$F$120,6,0),""))&amp;""</f>
        <v/>
      </c>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row>
    <row r="114" spans="1:338" x14ac:dyDescent="0.3">
      <c r="A114" s="205" t="str">
        <f>IFERROR(IF($A113+1&gt;'(backend scoring)'!$T$335,"",$A113+1),"")</f>
        <v/>
      </c>
      <c r="B114" s="205" t="str">
        <f>_xlfn.XLOOKUP($A114,'(backend scoring)'!$V$2:$V$333,'(backend scoring)'!$A$2:$A$333,"")</f>
        <v/>
      </c>
      <c r="C114" s="205" t="str">
        <f>IFERROR(VLOOKUP($B114,'Institution Evaluation'!$A$55:$F$345,2,0),IFERROR(VLOOKUP($B114,'Privacy Analyst Evaluation'!$A$46:$F$120,2,0),""))&amp;""</f>
        <v/>
      </c>
      <c r="D114" s="205" t="str">
        <f>IFERROR(VLOOKUP($B114,'Institution Evaluation'!$A$55:$F$345,3,0),IFERROR(VLOOKUP($B114,'Privacy Analyst Evaluation'!$A$46:$F$120,3,0),""))&amp;""</f>
        <v/>
      </c>
      <c r="E114" s="205" t="str">
        <f>IFERROR(VLOOKUP($B114,'Institution Evaluation'!$A$55:$F$345,4,0),IFERROR(VLOOKUP($B114,'Privacy Analyst Evaluation'!$A$46:$F$120,4,0),""))&amp;""</f>
        <v/>
      </c>
      <c r="F114" s="205" t="str">
        <f>IFERROR(VLOOKUP($B114,'Institution Evaluation'!$A$55:$F$345,6,0),IFERROR(VLOOKUP($B114,'Privacy Analyst Evaluation'!$A$46:$F$120,6,0),""))&amp;""</f>
        <v/>
      </c>
      <c r="G114" s="206"/>
      <c r="H114" s="205" t="str">
        <f>IFERROR(IF($H113+1&gt;'(backend scoring)'!$Q$335,"",$H113+1),"")</f>
        <v/>
      </c>
      <c r="I114" s="205" t="str">
        <f>_xlfn.XLOOKUP($H114,'(backend scoring)'!$S$2:$S$333,'(backend scoring)'!$A$2:$A$333,"")</f>
        <v/>
      </c>
      <c r="J114" s="205" t="str">
        <f>IFERROR(VLOOKUP($I114,'Institution Evaluation'!$A$55:$F$345,2,0),IFERROR(VLOOKUP($I114,'Privacy Analyst Evaluation'!$A$46:$F$120,2,0),""))</f>
        <v/>
      </c>
      <c r="K114" s="205" t="str">
        <f>IFERROR(VLOOKUP($I114,'Institution Evaluation'!$A$55:$F$345,3,0),IFERROR(VLOOKUP($I114,'Privacy Analyst Evaluation'!$A$46:$F$120,3,0),""))&amp;""</f>
        <v/>
      </c>
      <c r="L114" s="205" t="str">
        <f>IFERROR(VLOOKUP($I114,'Institution Evaluation'!$A$55:$F$345,4,0),IFERROR(VLOOKUP($I114,'Privacy Analyst Evaluation'!$A$46:$F$120,4,0),""))&amp;""</f>
        <v/>
      </c>
      <c r="M114" s="205" t="str">
        <f>IFERROR(VLOOKUP($I114,'Institution Evaluation'!$A$55:$F$345,6,0),IFERROR(VLOOKUP($I114,'Privacy Analyst Evaluation'!$A$46:$F$120,6,0),""))&amp;""</f>
        <v/>
      </c>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row>
    <row r="115" spans="1:338" x14ac:dyDescent="0.3">
      <c r="A115" s="205" t="str">
        <f>IFERROR(IF($A114+1&gt;'(backend scoring)'!$T$335,"",$A114+1),"")</f>
        <v/>
      </c>
      <c r="B115" s="205" t="str">
        <f>_xlfn.XLOOKUP($A115,'(backend scoring)'!$V$2:$V$333,'(backend scoring)'!$A$2:$A$333,"")</f>
        <v/>
      </c>
      <c r="C115" s="205" t="str">
        <f>IFERROR(VLOOKUP($B115,'Institution Evaluation'!$A$55:$F$345,2,0),IFERROR(VLOOKUP($B115,'Privacy Analyst Evaluation'!$A$46:$F$120,2,0),""))&amp;""</f>
        <v/>
      </c>
      <c r="D115" s="205" t="str">
        <f>IFERROR(VLOOKUP($B115,'Institution Evaluation'!$A$55:$F$345,3,0),IFERROR(VLOOKUP($B115,'Privacy Analyst Evaluation'!$A$46:$F$120,3,0),""))&amp;""</f>
        <v/>
      </c>
      <c r="E115" s="205" t="str">
        <f>IFERROR(VLOOKUP($B115,'Institution Evaluation'!$A$55:$F$345,4,0),IFERROR(VLOOKUP($B115,'Privacy Analyst Evaluation'!$A$46:$F$120,4,0),""))&amp;""</f>
        <v/>
      </c>
      <c r="F115" s="205" t="str">
        <f>IFERROR(VLOOKUP($B115,'Institution Evaluation'!$A$55:$F$345,6,0),IFERROR(VLOOKUP($B115,'Privacy Analyst Evaluation'!$A$46:$F$120,6,0),""))&amp;""</f>
        <v/>
      </c>
      <c r="G115" s="206"/>
      <c r="H115" s="205" t="str">
        <f>IFERROR(IF($H114+1&gt;'(backend scoring)'!$Q$335,"",$H114+1),"")</f>
        <v/>
      </c>
      <c r="I115" s="205" t="str">
        <f>_xlfn.XLOOKUP($H115,'(backend scoring)'!$S$2:$S$333,'(backend scoring)'!$A$2:$A$333,"")</f>
        <v/>
      </c>
      <c r="J115" s="205" t="str">
        <f>IFERROR(VLOOKUP($I115,'Institution Evaluation'!$A$55:$F$345,2,0),IFERROR(VLOOKUP($I115,'Privacy Analyst Evaluation'!$A$46:$F$120,2,0),""))</f>
        <v/>
      </c>
      <c r="K115" s="205" t="str">
        <f>IFERROR(VLOOKUP($I115,'Institution Evaluation'!$A$55:$F$345,3,0),IFERROR(VLOOKUP($I115,'Privacy Analyst Evaluation'!$A$46:$F$120,3,0),""))&amp;""</f>
        <v/>
      </c>
      <c r="L115" s="205" t="str">
        <f>IFERROR(VLOOKUP($I115,'Institution Evaluation'!$A$55:$F$345,4,0),IFERROR(VLOOKUP($I115,'Privacy Analyst Evaluation'!$A$46:$F$120,4,0),""))&amp;""</f>
        <v/>
      </c>
      <c r="M115" s="205" t="str">
        <f>IFERROR(VLOOKUP($I115,'Institution Evaluation'!$A$55:$F$345,6,0),IFERROR(VLOOKUP($I115,'Privacy Analyst Evaluation'!$A$46:$F$120,6,0),""))&amp;""</f>
        <v/>
      </c>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row>
    <row r="116" spans="1:338" x14ac:dyDescent="0.3">
      <c r="A116" s="205" t="str">
        <f>IFERROR(IF($A115+1&gt;'(backend scoring)'!$T$335,"",$A115+1),"")</f>
        <v/>
      </c>
      <c r="B116" s="205" t="str">
        <f>_xlfn.XLOOKUP($A116,'(backend scoring)'!$V$2:$V$333,'(backend scoring)'!$A$2:$A$333,"")</f>
        <v/>
      </c>
      <c r="C116" s="205" t="str">
        <f>IFERROR(VLOOKUP($B116,'Institution Evaluation'!$A$55:$F$345,2,0),IFERROR(VLOOKUP($B116,'Privacy Analyst Evaluation'!$A$46:$F$120,2,0),""))&amp;""</f>
        <v/>
      </c>
      <c r="D116" s="205" t="str">
        <f>IFERROR(VLOOKUP($B116,'Institution Evaluation'!$A$55:$F$345,3,0),IFERROR(VLOOKUP($B116,'Privacy Analyst Evaluation'!$A$46:$F$120,3,0),""))&amp;""</f>
        <v/>
      </c>
      <c r="E116" s="205" t="str">
        <f>IFERROR(VLOOKUP($B116,'Institution Evaluation'!$A$55:$F$345,4,0),IFERROR(VLOOKUP($B116,'Privacy Analyst Evaluation'!$A$46:$F$120,4,0),""))&amp;""</f>
        <v/>
      </c>
      <c r="F116" s="205" t="str">
        <f>IFERROR(VLOOKUP($B116,'Institution Evaluation'!$A$55:$F$345,6,0),IFERROR(VLOOKUP($B116,'Privacy Analyst Evaluation'!$A$46:$F$120,6,0),""))&amp;""</f>
        <v/>
      </c>
      <c r="G116" s="206"/>
      <c r="H116" s="205" t="str">
        <f>IFERROR(IF($H115+1&gt;'(backend scoring)'!$Q$335,"",$H115+1),"")</f>
        <v/>
      </c>
      <c r="I116" s="205" t="str">
        <f>_xlfn.XLOOKUP($H116,'(backend scoring)'!$S$2:$S$333,'(backend scoring)'!$A$2:$A$333,"")</f>
        <v/>
      </c>
      <c r="J116" s="205" t="str">
        <f>IFERROR(VLOOKUP($I116,'Institution Evaluation'!$A$55:$F$345,2,0),IFERROR(VLOOKUP($I116,'Privacy Analyst Evaluation'!$A$46:$F$120,2,0),""))</f>
        <v/>
      </c>
      <c r="K116" s="205" t="str">
        <f>IFERROR(VLOOKUP($I116,'Institution Evaluation'!$A$55:$F$345,3,0),IFERROR(VLOOKUP($I116,'Privacy Analyst Evaluation'!$A$46:$F$120,3,0),""))&amp;""</f>
        <v/>
      </c>
      <c r="L116" s="205" t="str">
        <f>IFERROR(VLOOKUP($I116,'Institution Evaluation'!$A$55:$F$345,4,0),IFERROR(VLOOKUP($I116,'Privacy Analyst Evaluation'!$A$46:$F$120,4,0),""))&amp;""</f>
        <v/>
      </c>
      <c r="M116" s="205" t="str">
        <f>IFERROR(VLOOKUP($I116,'Institution Evaluation'!$A$55:$F$345,6,0),IFERROR(VLOOKUP($I116,'Privacy Analyst Evaluation'!$A$46:$F$120,6,0),""))&amp;""</f>
        <v/>
      </c>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row>
    <row r="117" spans="1:338" x14ac:dyDescent="0.3">
      <c r="A117" s="205" t="str">
        <f>IFERROR(IF($A116+1&gt;'(backend scoring)'!$T$335,"",$A116+1),"")</f>
        <v/>
      </c>
      <c r="B117" s="205" t="str">
        <f>_xlfn.XLOOKUP($A117,'(backend scoring)'!$V$2:$V$333,'(backend scoring)'!$A$2:$A$333,"")</f>
        <v/>
      </c>
      <c r="C117" s="205" t="str">
        <f>IFERROR(VLOOKUP($B117,'Institution Evaluation'!$A$55:$F$345,2,0),IFERROR(VLOOKUP($B117,'Privacy Analyst Evaluation'!$A$46:$F$120,2,0),""))&amp;""</f>
        <v/>
      </c>
      <c r="D117" s="205" t="str">
        <f>IFERROR(VLOOKUP($B117,'Institution Evaluation'!$A$55:$F$345,3,0),IFERROR(VLOOKUP($B117,'Privacy Analyst Evaluation'!$A$46:$F$120,3,0),""))&amp;""</f>
        <v/>
      </c>
      <c r="E117" s="205" t="str">
        <f>IFERROR(VLOOKUP($B117,'Institution Evaluation'!$A$55:$F$345,4,0),IFERROR(VLOOKUP($B117,'Privacy Analyst Evaluation'!$A$46:$F$120,4,0),""))&amp;""</f>
        <v/>
      </c>
      <c r="F117" s="205" t="str">
        <f>IFERROR(VLOOKUP($B117,'Institution Evaluation'!$A$55:$F$345,6,0),IFERROR(VLOOKUP($B117,'Privacy Analyst Evaluation'!$A$46:$F$120,6,0),""))&amp;""</f>
        <v/>
      </c>
      <c r="G117" s="206"/>
      <c r="H117" s="205" t="str">
        <f>IFERROR(IF($H116+1&gt;'(backend scoring)'!$Q$335,"",$H116+1),"")</f>
        <v/>
      </c>
      <c r="I117" s="205" t="str">
        <f>_xlfn.XLOOKUP($H117,'(backend scoring)'!$S$2:$S$333,'(backend scoring)'!$A$2:$A$333,"")</f>
        <v/>
      </c>
      <c r="J117" s="205" t="str">
        <f>IFERROR(VLOOKUP($I117,'Institution Evaluation'!$A$55:$F$345,2,0),IFERROR(VLOOKUP($I117,'Privacy Analyst Evaluation'!$A$46:$F$120,2,0),""))</f>
        <v/>
      </c>
      <c r="K117" s="205" t="str">
        <f>IFERROR(VLOOKUP($I117,'Institution Evaluation'!$A$55:$F$345,3,0),IFERROR(VLOOKUP($I117,'Privacy Analyst Evaluation'!$A$46:$F$120,3,0),""))&amp;""</f>
        <v/>
      </c>
      <c r="L117" s="205" t="str">
        <f>IFERROR(VLOOKUP($I117,'Institution Evaluation'!$A$55:$F$345,4,0),IFERROR(VLOOKUP($I117,'Privacy Analyst Evaluation'!$A$46:$F$120,4,0),""))&amp;""</f>
        <v/>
      </c>
      <c r="M117" s="205" t="str">
        <f>IFERROR(VLOOKUP($I117,'Institution Evaluation'!$A$55:$F$345,6,0),IFERROR(VLOOKUP($I117,'Privacy Analyst Evaluation'!$A$46:$F$120,6,0),""))&amp;""</f>
        <v/>
      </c>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row>
    <row r="118" spans="1:338" x14ac:dyDescent="0.3">
      <c r="A118" s="205" t="str">
        <f>IFERROR(IF($A117+1&gt;'(backend scoring)'!$T$335,"",$A117+1),"")</f>
        <v/>
      </c>
      <c r="B118" s="205" t="str">
        <f>_xlfn.XLOOKUP($A118,'(backend scoring)'!$V$2:$V$333,'(backend scoring)'!$A$2:$A$333,"")</f>
        <v/>
      </c>
      <c r="C118" s="205" t="str">
        <f>IFERROR(VLOOKUP($B118,'Institution Evaluation'!$A$55:$F$345,2,0),IFERROR(VLOOKUP($B118,'Privacy Analyst Evaluation'!$A$46:$F$120,2,0),""))&amp;""</f>
        <v/>
      </c>
      <c r="D118" s="205" t="str">
        <f>IFERROR(VLOOKUP($B118,'Institution Evaluation'!$A$55:$F$345,3,0),IFERROR(VLOOKUP($B118,'Privacy Analyst Evaluation'!$A$46:$F$120,3,0),""))&amp;""</f>
        <v/>
      </c>
      <c r="E118" s="205" t="str">
        <f>IFERROR(VLOOKUP($B118,'Institution Evaluation'!$A$55:$F$345,4,0),IFERROR(VLOOKUP($B118,'Privacy Analyst Evaluation'!$A$46:$F$120,4,0),""))&amp;""</f>
        <v/>
      </c>
      <c r="F118" s="205" t="str">
        <f>IFERROR(VLOOKUP($B118,'Institution Evaluation'!$A$55:$F$345,6,0),IFERROR(VLOOKUP($B118,'Privacy Analyst Evaluation'!$A$46:$F$120,6,0),""))&amp;""</f>
        <v/>
      </c>
      <c r="G118" s="206"/>
      <c r="H118" s="205" t="str">
        <f>IFERROR(IF($H117+1&gt;'(backend scoring)'!$Q$335,"",$H117+1),"")</f>
        <v/>
      </c>
      <c r="I118" s="205" t="str">
        <f>_xlfn.XLOOKUP($H118,'(backend scoring)'!$S$2:$S$333,'(backend scoring)'!$A$2:$A$333,"")</f>
        <v/>
      </c>
      <c r="J118" s="205" t="str">
        <f>IFERROR(VLOOKUP($I118,'Institution Evaluation'!$A$55:$F$345,2,0),IFERROR(VLOOKUP($I118,'Privacy Analyst Evaluation'!$A$46:$F$120,2,0),""))</f>
        <v/>
      </c>
      <c r="K118" s="205" t="str">
        <f>IFERROR(VLOOKUP($I118,'Institution Evaluation'!$A$55:$F$345,3,0),IFERROR(VLOOKUP($I118,'Privacy Analyst Evaluation'!$A$46:$F$120,3,0),""))&amp;""</f>
        <v/>
      </c>
      <c r="L118" s="205" t="str">
        <f>IFERROR(VLOOKUP($I118,'Institution Evaluation'!$A$55:$F$345,4,0),IFERROR(VLOOKUP($I118,'Privacy Analyst Evaluation'!$A$46:$F$120,4,0),""))&amp;""</f>
        <v/>
      </c>
      <c r="M118" s="205" t="str">
        <f>IFERROR(VLOOKUP($I118,'Institution Evaluation'!$A$55:$F$345,6,0),IFERROR(VLOOKUP($I118,'Privacy Analyst Evaluation'!$A$46:$F$120,6,0),""))&amp;""</f>
        <v/>
      </c>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row>
    <row r="119" spans="1:338" x14ac:dyDescent="0.3">
      <c r="A119" s="205" t="str">
        <f>IFERROR(IF($A118+1&gt;'(backend scoring)'!$T$335,"",$A118+1),"")</f>
        <v/>
      </c>
      <c r="B119" s="205" t="str">
        <f>_xlfn.XLOOKUP($A119,'(backend scoring)'!$V$2:$V$333,'(backend scoring)'!$A$2:$A$333,"")</f>
        <v/>
      </c>
      <c r="C119" s="205" t="str">
        <f>IFERROR(VLOOKUP($B119,'Institution Evaluation'!$A$55:$F$345,2,0),IFERROR(VLOOKUP($B119,'Privacy Analyst Evaluation'!$A$46:$F$120,2,0),""))&amp;""</f>
        <v/>
      </c>
      <c r="D119" s="205" t="str">
        <f>IFERROR(VLOOKUP($B119,'Institution Evaluation'!$A$55:$F$345,3,0),IFERROR(VLOOKUP($B119,'Privacy Analyst Evaluation'!$A$46:$F$120,3,0),""))&amp;""</f>
        <v/>
      </c>
      <c r="E119" s="205" t="str">
        <f>IFERROR(VLOOKUP($B119,'Institution Evaluation'!$A$55:$F$345,4,0),IFERROR(VLOOKUP($B119,'Privacy Analyst Evaluation'!$A$46:$F$120,4,0),""))&amp;""</f>
        <v/>
      </c>
      <c r="F119" s="205" t="str">
        <f>IFERROR(VLOOKUP($B119,'Institution Evaluation'!$A$55:$F$345,6,0),IFERROR(VLOOKUP($B119,'Privacy Analyst Evaluation'!$A$46:$F$120,6,0),""))&amp;""</f>
        <v/>
      </c>
      <c r="G119" s="206"/>
      <c r="H119" s="205" t="str">
        <f>IFERROR(IF($H118+1&gt;'(backend scoring)'!$Q$335,"",$H118+1),"")</f>
        <v/>
      </c>
      <c r="I119" s="205" t="str">
        <f>_xlfn.XLOOKUP($H119,'(backend scoring)'!$S$2:$S$333,'(backend scoring)'!$A$2:$A$333,"")</f>
        <v/>
      </c>
      <c r="J119" s="205" t="str">
        <f>IFERROR(VLOOKUP($I119,'Institution Evaluation'!$A$55:$F$345,2,0),IFERROR(VLOOKUP($I119,'Privacy Analyst Evaluation'!$A$46:$F$120,2,0),""))</f>
        <v/>
      </c>
      <c r="K119" s="205" t="str">
        <f>IFERROR(VLOOKUP($I119,'Institution Evaluation'!$A$55:$F$345,3,0),IFERROR(VLOOKUP($I119,'Privacy Analyst Evaluation'!$A$46:$F$120,3,0),""))&amp;""</f>
        <v/>
      </c>
      <c r="L119" s="205" t="str">
        <f>IFERROR(VLOOKUP($I119,'Institution Evaluation'!$A$55:$F$345,4,0),IFERROR(VLOOKUP($I119,'Privacy Analyst Evaluation'!$A$46:$F$120,4,0),""))&amp;""</f>
        <v/>
      </c>
      <c r="M119" s="205" t="str">
        <f>IFERROR(VLOOKUP($I119,'Institution Evaluation'!$A$55:$F$345,6,0),IFERROR(VLOOKUP($I119,'Privacy Analyst Evaluation'!$A$46:$F$120,6,0),""))&amp;""</f>
        <v/>
      </c>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row>
    <row r="120" spans="1:338" x14ac:dyDescent="0.3">
      <c r="A120" s="205" t="str">
        <f>IFERROR(IF($A119+1&gt;'(backend scoring)'!$T$335,"",$A119+1),"")</f>
        <v/>
      </c>
      <c r="B120" s="205" t="str">
        <f>_xlfn.XLOOKUP($A120,'(backend scoring)'!$V$2:$V$333,'(backend scoring)'!$A$2:$A$333,"")</f>
        <v/>
      </c>
      <c r="C120" s="205" t="str">
        <f>IFERROR(VLOOKUP($B120,'Institution Evaluation'!$A$55:$F$345,2,0),IFERROR(VLOOKUP($B120,'Privacy Analyst Evaluation'!$A$46:$F$120,2,0),""))&amp;""</f>
        <v/>
      </c>
      <c r="D120" s="205" t="str">
        <f>IFERROR(VLOOKUP($B120,'Institution Evaluation'!$A$55:$F$345,3,0),IFERROR(VLOOKUP($B120,'Privacy Analyst Evaluation'!$A$46:$F$120,3,0),""))&amp;""</f>
        <v/>
      </c>
      <c r="E120" s="205" t="str">
        <f>IFERROR(VLOOKUP($B120,'Institution Evaluation'!$A$55:$F$345,4,0),IFERROR(VLOOKUP($B120,'Privacy Analyst Evaluation'!$A$46:$F$120,4,0),""))&amp;""</f>
        <v/>
      </c>
      <c r="F120" s="205" t="str">
        <f>IFERROR(VLOOKUP($B120,'Institution Evaluation'!$A$55:$F$345,6,0),IFERROR(VLOOKUP($B120,'Privacy Analyst Evaluation'!$A$46:$F$120,6,0),""))&amp;""</f>
        <v/>
      </c>
      <c r="G120" s="206"/>
      <c r="H120" s="205" t="str">
        <f>IFERROR(IF($H119+1&gt;'(backend scoring)'!$Q$335,"",$H119+1),"")</f>
        <v/>
      </c>
      <c r="I120" s="205" t="str">
        <f>_xlfn.XLOOKUP($H120,'(backend scoring)'!$S$2:$S$333,'(backend scoring)'!$A$2:$A$333,"")</f>
        <v/>
      </c>
      <c r="J120" s="205" t="str">
        <f>IFERROR(VLOOKUP($I120,'Institution Evaluation'!$A$55:$F$345,2,0),IFERROR(VLOOKUP($I120,'Privacy Analyst Evaluation'!$A$46:$F$120,2,0),""))</f>
        <v/>
      </c>
      <c r="K120" s="205" t="str">
        <f>IFERROR(VLOOKUP($I120,'Institution Evaluation'!$A$55:$F$345,3,0),IFERROR(VLOOKUP($I120,'Privacy Analyst Evaluation'!$A$46:$F$120,3,0),""))&amp;""</f>
        <v/>
      </c>
      <c r="L120" s="205" t="str">
        <f>IFERROR(VLOOKUP($I120,'Institution Evaluation'!$A$55:$F$345,4,0),IFERROR(VLOOKUP($I120,'Privacy Analyst Evaluation'!$A$46:$F$120,4,0),""))&amp;""</f>
        <v/>
      </c>
      <c r="M120" s="205" t="str">
        <f>IFERROR(VLOOKUP($I120,'Institution Evaluation'!$A$55:$F$345,6,0),IFERROR(VLOOKUP($I120,'Privacy Analyst Evaluation'!$A$46:$F$120,6,0),""))&amp;""</f>
        <v/>
      </c>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row>
    <row r="121" spans="1:338" x14ac:dyDescent="0.3">
      <c r="A121" s="205" t="str">
        <f>IFERROR(IF($A120+1&gt;'(backend scoring)'!$T$335,"",$A120+1),"")</f>
        <v/>
      </c>
      <c r="B121" s="205" t="str">
        <f>_xlfn.XLOOKUP($A121,'(backend scoring)'!$V$2:$V$333,'(backend scoring)'!$A$2:$A$333,"")</f>
        <v/>
      </c>
      <c r="C121" s="205" t="str">
        <f>IFERROR(VLOOKUP($B121,'Institution Evaluation'!$A$55:$F$345,2,0),IFERROR(VLOOKUP($B121,'Privacy Analyst Evaluation'!$A$46:$F$120,2,0),""))&amp;""</f>
        <v/>
      </c>
      <c r="D121" s="205" t="str">
        <f>IFERROR(VLOOKUP($B121,'Institution Evaluation'!$A$55:$F$345,3,0),IFERROR(VLOOKUP($B121,'Privacy Analyst Evaluation'!$A$46:$F$120,3,0),""))&amp;""</f>
        <v/>
      </c>
      <c r="E121" s="205" t="str">
        <f>IFERROR(VLOOKUP($B121,'Institution Evaluation'!$A$55:$F$345,4,0),IFERROR(VLOOKUP($B121,'Privacy Analyst Evaluation'!$A$46:$F$120,4,0),""))&amp;""</f>
        <v/>
      </c>
      <c r="F121" s="205" t="str">
        <f>IFERROR(VLOOKUP($B121,'Institution Evaluation'!$A$55:$F$345,6,0),IFERROR(VLOOKUP($B121,'Privacy Analyst Evaluation'!$A$46:$F$120,6,0),""))&amp;""</f>
        <v/>
      </c>
      <c r="G121" s="206"/>
      <c r="H121" s="205" t="str">
        <f>IFERROR(IF($H120+1&gt;'(backend scoring)'!$Q$335,"",$H120+1),"")</f>
        <v/>
      </c>
      <c r="I121" s="205" t="str">
        <f>_xlfn.XLOOKUP($H121,'(backend scoring)'!$S$2:$S$333,'(backend scoring)'!$A$2:$A$333,"")</f>
        <v/>
      </c>
      <c r="J121" s="205" t="str">
        <f>IFERROR(VLOOKUP($I121,'Institution Evaluation'!$A$55:$F$345,2,0),IFERROR(VLOOKUP($I121,'Privacy Analyst Evaluation'!$A$46:$F$120,2,0),""))</f>
        <v/>
      </c>
      <c r="K121" s="205" t="str">
        <f>IFERROR(VLOOKUP($I121,'Institution Evaluation'!$A$55:$F$345,3,0),IFERROR(VLOOKUP($I121,'Privacy Analyst Evaluation'!$A$46:$F$120,3,0),""))&amp;""</f>
        <v/>
      </c>
      <c r="L121" s="205" t="str">
        <f>IFERROR(VLOOKUP($I121,'Institution Evaluation'!$A$55:$F$345,4,0),IFERROR(VLOOKUP($I121,'Privacy Analyst Evaluation'!$A$46:$F$120,4,0),""))&amp;""</f>
        <v/>
      </c>
      <c r="M121" s="205" t="str">
        <f>IFERROR(VLOOKUP($I121,'Institution Evaluation'!$A$55:$F$345,6,0),IFERROR(VLOOKUP($I121,'Privacy Analyst Evaluation'!$A$46:$F$120,6,0),""))&amp;""</f>
        <v/>
      </c>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row>
    <row r="122" spans="1:338" x14ac:dyDescent="0.3">
      <c r="A122" s="205" t="str">
        <f>IFERROR(IF($A121+1&gt;'(backend scoring)'!$T$335,"",$A121+1),"")</f>
        <v/>
      </c>
      <c r="B122" s="205" t="str">
        <f>_xlfn.XLOOKUP($A122,'(backend scoring)'!$V$2:$V$333,'(backend scoring)'!$A$2:$A$333,"")</f>
        <v/>
      </c>
      <c r="C122" s="205" t="str">
        <f>IFERROR(VLOOKUP($B122,'Institution Evaluation'!$A$55:$F$345,2,0),IFERROR(VLOOKUP($B122,'Privacy Analyst Evaluation'!$A$46:$F$120,2,0),""))&amp;""</f>
        <v/>
      </c>
      <c r="D122" s="205" t="str">
        <f>IFERROR(VLOOKUP($B122,'Institution Evaluation'!$A$55:$F$345,3,0),IFERROR(VLOOKUP($B122,'Privacy Analyst Evaluation'!$A$46:$F$120,3,0),""))&amp;""</f>
        <v/>
      </c>
      <c r="E122" s="205" t="str">
        <f>IFERROR(VLOOKUP($B122,'Institution Evaluation'!$A$55:$F$345,4,0),IFERROR(VLOOKUP($B122,'Privacy Analyst Evaluation'!$A$46:$F$120,4,0),""))&amp;""</f>
        <v/>
      </c>
      <c r="F122" s="205" t="str">
        <f>IFERROR(VLOOKUP($B122,'Institution Evaluation'!$A$55:$F$345,6,0),IFERROR(VLOOKUP($B122,'Privacy Analyst Evaluation'!$A$46:$F$120,6,0),""))&amp;""</f>
        <v/>
      </c>
      <c r="G122" s="206"/>
      <c r="H122" s="205" t="str">
        <f>IFERROR(IF($H121+1&gt;'(backend scoring)'!$Q$335,"",$H121+1),"")</f>
        <v/>
      </c>
      <c r="I122" s="205" t="str">
        <f>_xlfn.XLOOKUP($H122,'(backend scoring)'!$S$2:$S$333,'(backend scoring)'!$A$2:$A$333,"")</f>
        <v/>
      </c>
      <c r="J122" s="205" t="str">
        <f>IFERROR(VLOOKUP($I122,'Institution Evaluation'!$A$55:$F$345,2,0),IFERROR(VLOOKUP($I122,'Privacy Analyst Evaluation'!$A$46:$F$120,2,0),""))</f>
        <v/>
      </c>
      <c r="K122" s="205" t="str">
        <f>IFERROR(VLOOKUP($I122,'Institution Evaluation'!$A$55:$F$345,3,0),IFERROR(VLOOKUP($I122,'Privacy Analyst Evaluation'!$A$46:$F$120,3,0),""))&amp;""</f>
        <v/>
      </c>
      <c r="L122" s="205" t="str">
        <f>IFERROR(VLOOKUP($I122,'Institution Evaluation'!$A$55:$F$345,4,0),IFERROR(VLOOKUP($I122,'Privacy Analyst Evaluation'!$A$46:$F$120,4,0),""))&amp;""</f>
        <v/>
      </c>
      <c r="M122" s="205" t="str">
        <f>IFERROR(VLOOKUP($I122,'Institution Evaluation'!$A$55:$F$345,6,0),IFERROR(VLOOKUP($I122,'Privacy Analyst Evaluation'!$A$46:$F$120,6,0),""))&amp;""</f>
        <v/>
      </c>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row>
    <row r="123" spans="1:338" x14ac:dyDescent="0.3">
      <c r="A123" s="205" t="str">
        <f>IFERROR(IF($A122+1&gt;'(backend scoring)'!$T$335,"",$A122+1),"")</f>
        <v/>
      </c>
      <c r="B123" s="205" t="str">
        <f>_xlfn.XLOOKUP($A123,'(backend scoring)'!$V$2:$V$333,'(backend scoring)'!$A$2:$A$333,"")</f>
        <v/>
      </c>
      <c r="C123" s="205" t="str">
        <f>IFERROR(VLOOKUP($B123,'Institution Evaluation'!$A$55:$F$345,2,0),IFERROR(VLOOKUP($B123,'Privacy Analyst Evaluation'!$A$46:$F$120,2,0),""))&amp;""</f>
        <v/>
      </c>
      <c r="D123" s="205" t="str">
        <f>IFERROR(VLOOKUP($B123,'Institution Evaluation'!$A$55:$F$345,3,0),IFERROR(VLOOKUP($B123,'Privacy Analyst Evaluation'!$A$46:$F$120,3,0),""))&amp;""</f>
        <v/>
      </c>
      <c r="E123" s="205" t="str">
        <f>IFERROR(VLOOKUP($B123,'Institution Evaluation'!$A$55:$F$345,4,0),IFERROR(VLOOKUP($B123,'Privacy Analyst Evaluation'!$A$46:$F$120,4,0),""))&amp;""</f>
        <v/>
      </c>
      <c r="F123" s="205" t="str">
        <f>IFERROR(VLOOKUP($B123,'Institution Evaluation'!$A$55:$F$345,6,0),IFERROR(VLOOKUP($B123,'Privacy Analyst Evaluation'!$A$46:$F$120,6,0),""))&amp;""</f>
        <v/>
      </c>
      <c r="G123" s="206"/>
      <c r="H123" s="205" t="str">
        <f>IFERROR(IF($H122+1&gt;'(backend scoring)'!$Q$335,"",$H122+1),"")</f>
        <v/>
      </c>
      <c r="I123" s="205" t="str">
        <f>_xlfn.XLOOKUP($H123,'(backend scoring)'!$S$2:$S$333,'(backend scoring)'!$A$2:$A$333,"")</f>
        <v/>
      </c>
      <c r="J123" s="205" t="str">
        <f>IFERROR(VLOOKUP($I123,'Institution Evaluation'!$A$55:$F$345,2,0),IFERROR(VLOOKUP($I123,'Privacy Analyst Evaluation'!$A$46:$F$120,2,0),""))</f>
        <v/>
      </c>
      <c r="K123" s="205" t="str">
        <f>IFERROR(VLOOKUP($I123,'Institution Evaluation'!$A$55:$F$345,3,0),IFERROR(VLOOKUP($I123,'Privacy Analyst Evaluation'!$A$46:$F$120,3,0),""))&amp;""</f>
        <v/>
      </c>
      <c r="L123" s="205" t="str">
        <f>IFERROR(VLOOKUP($I123,'Institution Evaluation'!$A$55:$F$345,4,0),IFERROR(VLOOKUP($I123,'Privacy Analyst Evaluation'!$A$46:$F$120,4,0),""))&amp;""</f>
        <v/>
      </c>
      <c r="M123" s="205" t="str">
        <f>IFERROR(VLOOKUP($I123,'Institution Evaluation'!$A$55:$F$345,6,0),IFERROR(VLOOKUP($I123,'Privacy Analyst Evaluation'!$A$46:$F$120,6,0),""))&amp;""</f>
        <v/>
      </c>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row>
    <row r="124" spans="1:338" x14ac:dyDescent="0.3">
      <c r="A124" s="205" t="str">
        <f>IFERROR(IF($A123+1&gt;'(backend scoring)'!$T$335,"",$A123+1),"")</f>
        <v/>
      </c>
      <c r="B124" s="205" t="str">
        <f>_xlfn.XLOOKUP($A124,'(backend scoring)'!$V$2:$V$333,'(backend scoring)'!$A$2:$A$333,"")</f>
        <v/>
      </c>
      <c r="C124" s="205" t="str">
        <f>IFERROR(VLOOKUP($B124,'Institution Evaluation'!$A$55:$F$345,2,0),IFERROR(VLOOKUP($B124,'Privacy Analyst Evaluation'!$A$46:$F$120,2,0),""))&amp;""</f>
        <v/>
      </c>
      <c r="D124" s="205" t="str">
        <f>IFERROR(VLOOKUP($B124,'Institution Evaluation'!$A$55:$F$345,3,0),IFERROR(VLOOKUP($B124,'Privacy Analyst Evaluation'!$A$46:$F$120,3,0),""))&amp;""</f>
        <v/>
      </c>
      <c r="E124" s="205" t="str">
        <f>IFERROR(VLOOKUP($B124,'Institution Evaluation'!$A$55:$F$345,4,0),IFERROR(VLOOKUP($B124,'Privacy Analyst Evaluation'!$A$46:$F$120,4,0),""))&amp;""</f>
        <v/>
      </c>
      <c r="F124" s="205" t="str">
        <f>IFERROR(VLOOKUP($B124,'Institution Evaluation'!$A$55:$F$345,6,0),IFERROR(VLOOKUP($B124,'Privacy Analyst Evaluation'!$A$46:$F$120,6,0),""))&amp;""</f>
        <v/>
      </c>
      <c r="G124" s="206"/>
      <c r="H124" s="205" t="str">
        <f>IFERROR(IF($H123+1&gt;'(backend scoring)'!$Q$335,"",$H123+1),"")</f>
        <v/>
      </c>
      <c r="I124" s="205" t="str">
        <f>_xlfn.XLOOKUP($H124,'(backend scoring)'!$S$2:$S$333,'(backend scoring)'!$A$2:$A$333,"")</f>
        <v/>
      </c>
      <c r="J124" s="205" t="str">
        <f>IFERROR(VLOOKUP($I124,'Institution Evaluation'!$A$55:$F$345,2,0),IFERROR(VLOOKUP($I124,'Privacy Analyst Evaluation'!$A$46:$F$120,2,0),""))</f>
        <v/>
      </c>
      <c r="K124" s="205" t="str">
        <f>IFERROR(VLOOKUP($I124,'Institution Evaluation'!$A$55:$F$345,3,0),IFERROR(VLOOKUP($I124,'Privacy Analyst Evaluation'!$A$46:$F$120,3,0),""))&amp;""</f>
        <v/>
      </c>
      <c r="L124" s="205" t="str">
        <f>IFERROR(VLOOKUP($I124,'Institution Evaluation'!$A$55:$F$345,4,0),IFERROR(VLOOKUP($I124,'Privacy Analyst Evaluation'!$A$46:$F$120,4,0),""))&amp;""</f>
        <v/>
      </c>
      <c r="M124" s="205" t="str">
        <f>IFERROR(VLOOKUP($I124,'Institution Evaluation'!$A$55:$F$345,6,0),IFERROR(VLOOKUP($I124,'Privacy Analyst Evaluation'!$A$46:$F$120,6,0),""))&amp;""</f>
        <v/>
      </c>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row>
    <row r="125" spans="1:338" x14ac:dyDescent="0.3">
      <c r="A125" s="205" t="str">
        <f>IFERROR(IF($A124+1&gt;'(backend scoring)'!$T$335,"",$A124+1),"")</f>
        <v/>
      </c>
      <c r="B125" s="205" t="str">
        <f>_xlfn.XLOOKUP($A125,'(backend scoring)'!$V$2:$V$333,'(backend scoring)'!$A$2:$A$333,"")</f>
        <v/>
      </c>
      <c r="C125" s="205" t="str">
        <f>IFERROR(VLOOKUP($B125,'Institution Evaluation'!$A$55:$F$345,2,0),IFERROR(VLOOKUP($B125,'Privacy Analyst Evaluation'!$A$46:$F$120,2,0),""))&amp;""</f>
        <v/>
      </c>
      <c r="D125" s="205" t="str">
        <f>IFERROR(VLOOKUP($B125,'Institution Evaluation'!$A$55:$F$345,3,0),IFERROR(VLOOKUP($B125,'Privacy Analyst Evaluation'!$A$46:$F$120,3,0),""))&amp;""</f>
        <v/>
      </c>
      <c r="E125" s="205" t="str">
        <f>IFERROR(VLOOKUP($B125,'Institution Evaluation'!$A$55:$F$345,4,0),IFERROR(VLOOKUP($B125,'Privacy Analyst Evaluation'!$A$46:$F$120,4,0),""))&amp;""</f>
        <v/>
      </c>
      <c r="F125" s="205" t="str">
        <f>IFERROR(VLOOKUP($B125,'Institution Evaluation'!$A$55:$F$345,6,0),IFERROR(VLOOKUP($B125,'Privacy Analyst Evaluation'!$A$46:$F$120,6,0),""))&amp;""</f>
        <v/>
      </c>
      <c r="G125" s="206"/>
      <c r="H125" s="205" t="str">
        <f>IFERROR(IF($H124+1&gt;'(backend scoring)'!$Q$335,"",$H124+1),"")</f>
        <v/>
      </c>
      <c r="I125" s="205" t="str">
        <f>_xlfn.XLOOKUP($H125,'(backend scoring)'!$S$2:$S$333,'(backend scoring)'!$A$2:$A$333,"")</f>
        <v/>
      </c>
      <c r="J125" s="205" t="str">
        <f>IFERROR(VLOOKUP($I125,'Institution Evaluation'!$A$55:$F$345,2,0),IFERROR(VLOOKUP($I125,'Privacy Analyst Evaluation'!$A$46:$F$120,2,0),""))</f>
        <v/>
      </c>
      <c r="K125" s="205" t="str">
        <f>IFERROR(VLOOKUP($I125,'Institution Evaluation'!$A$55:$F$345,3,0),IFERROR(VLOOKUP($I125,'Privacy Analyst Evaluation'!$A$46:$F$120,3,0),""))&amp;""</f>
        <v/>
      </c>
      <c r="L125" s="205" t="str">
        <f>IFERROR(VLOOKUP($I125,'Institution Evaluation'!$A$55:$F$345,4,0),IFERROR(VLOOKUP($I125,'Privacy Analyst Evaluation'!$A$46:$F$120,4,0),""))&amp;""</f>
        <v/>
      </c>
      <c r="M125" s="205" t="str">
        <f>IFERROR(VLOOKUP($I125,'Institution Evaluation'!$A$55:$F$345,6,0),IFERROR(VLOOKUP($I125,'Privacy Analyst Evaluation'!$A$46:$F$120,6,0),""))&amp;""</f>
        <v/>
      </c>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row>
    <row r="126" spans="1:338" x14ac:dyDescent="0.3">
      <c r="A126" s="205" t="str">
        <f>IFERROR(IF($A125+1&gt;'(backend scoring)'!$T$335,"",$A125+1),"")</f>
        <v/>
      </c>
      <c r="B126" s="205" t="str">
        <f>_xlfn.XLOOKUP($A126,'(backend scoring)'!$V$2:$V$333,'(backend scoring)'!$A$2:$A$333,"")</f>
        <v/>
      </c>
      <c r="C126" s="205" t="str">
        <f>IFERROR(VLOOKUP($B126,'Institution Evaluation'!$A$55:$F$345,2,0),IFERROR(VLOOKUP($B126,'Privacy Analyst Evaluation'!$A$46:$F$120,2,0),""))&amp;""</f>
        <v/>
      </c>
      <c r="D126" s="205" t="str">
        <f>IFERROR(VLOOKUP($B126,'Institution Evaluation'!$A$55:$F$345,3,0),IFERROR(VLOOKUP($B126,'Privacy Analyst Evaluation'!$A$46:$F$120,3,0),""))&amp;""</f>
        <v/>
      </c>
      <c r="E126" s="205" t="str">
        <f>IFERROR(VLOOKUP($B126,'Institution Evaluation'!$A$55:$F$345,4,0),IFERROR(VLOOKUP($B126,'Privacy Analyst Evaluation'!$A$46:$F$120,4,0),""))&amp;""</f>
        <v/>
      </c>
      <c r="F126" s="205" t="str">
        <f>IFERROR(VLOOKUP($B126,'Institution Evaluation'!$A$55:$F$345,6,0),IFERROR(VLOOKUP($B126,'Privacy Analyst Evaluation'!$A$46:$F$120,6,0),""))&amp;""</f>
        <v/>
      </c>
      <c r="G126" s="206"/>
      <c r="H126" s="205" t="str">
        <f>IFERROR(IF($H125+1&gt;'(backend scoring)'!$Q$335,"",$H125+1),"")</f>
        <v/>
      </c>
      <c r="I126" s="205" t="str">
        <f>_xlfn.XLOOKUP($H126,'(backend scoring)'!$S$2:$S$333,'(backend scoring)'!$A$2:$A$333,"")</f>
        <v/>
      </c>
      <c r="J126" s="205" t="str">
        <f>IFERROR(VLOOKUP($I126,'Institution Evaluation'!$A$55:$F$345,2,0),IFERROR(VLOOKUP($I126,'Privacy Analyst Evaluation'!$A$46:$F$120,2,0),""))</f>
        <v/>
      </c>
      <c r="K126" s="205" t="str">
        <f>IFERROR(VLOOKUP($I126,'Institution Evaluation'!$A$55:$F$345,3,0),IFERROR(VLOOKUP($I126,'Privacy Analyst Evaluation'!$A$46:$F$120,3,0),""))&amp;""</f>
        <v/>
      </c>
      <c r="L126" s="205" t="str">
        <f>IFERROR(VLOOKUP($I126,'Institution Evaluation'!$A$55:$F$345,4,0),IFERROR(VLOOKUP($I126,'Privacy Analyst Evaluation'!$A$46:$F$120,4,0),""))&amp;""</f>
        <v/>
      </c>
      <c r="M126" s="205" t="str">
        <f>IFERROR(VLOOKUP($I126,'Institution Evaluation'!$A$55:$F$345,6,0),IFERROR(VLOOKUP($I126,'Privacy Analyst Evaluation'!$A$46:$F$120,6,0),""))&amp;""</f>
        <v/>
      </c>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row>
    <row r="127" spans="1:338" x14ac:dyDescent="0.3">
      <c r="A127" s="205" t="str">
        <f>IFERROR(IF($A126+1&gt;'(backend scoring)'!$T$335,"",$A126+1),"")</f>
        <v/>
      </c>
      <c r="B127" s="205" t="str">
        <f>_xlfn.XLOOKUP($A127,'(backend scoring)'!$V$2:$V$333,'(backend scoring)'!$A$2:$A$333,"")</f>
        <v/>
      </c>
      <c r="C127" s="205" t="str">
        <f>IFERROR(VLOOKUP($B127,'Institution Evaluation'!$A$55:$F$345,2,0),IFERROR(VLOOKUP($B127,'Privacy Analyst Evaluation'!$A$46:$F$120,2,0),""))&amp;""</f>
        <v/>
      </c>
      <c r="D127" s="205" t="str">
        <f>IFERROR(VLOOKUP($B127,'Institution Evaluation'!$A$55:$F$345,3,0),IFERROR(VLOOKUP($B127,'Privacy Analyst Evaluation'!$A$46:$F$120,3,0),""))&amp;""</f>
        <v/>
      </c>
      <c r="E127" s="205" t="str">
        <f>IFERROR(VLOOKUP($B127,'Institution Evaluation'!$A$55:$F$345,4,0),IFERROR(VLOOKUP($B127,'Privacy Analyst Evaluation'!$A$46:$F$120,4,0),""))&amp;""</f>
        <v/>
      </c>
      <c r="F127" s="205" t="str">
        <f>IFERROR(VLOOKUP($B127,'Institution Evaluation'!$A$55:$F$345,6,0),IFERROR(VLOOKUP($B127,'Privacy Analyst Evaluation'!$A$46:$F$120,6,0),""))&amp;""</f>
        <v/>
      </c>
      <c r="G127" s="206"/>
      <c r="H127" s="205" t="str">
        <f>IFERROR(IF($H126+1&gt;'(backend scoring)'!$Q$335,"",$H126+1),"")</f>
        <v/>
      </c>
      <c r="I127" s="205" t="str">
        <f>_xlfn.XLOOKUP($H127,'(backend scoring)'!$S$2:$S$333,'(backend scoring)'!$A$2:$A$333,"")</f>
        <v/>
      </c>
      <c r="J127" s="205" t="str">
        <f>IFERROR(VLOOKUP($I127,'Institution Evaluation'!$A$55:$F$345,2,0),IFERROR(VLOOKUP($I127,'Privacy Analyst Evaluation'!$A$46:$F$120,2,0),""))</f>
        <v/>
      </c>
      <c r="K127" s="205" t="str">
        <f>IFERROR(VLOOKUP($I127,'Institution Evaluation'!$A$55:$F$345,3,0),IFERROR(VLOOKUP($I127,'Privacy Analyst Evaluation'!$A$46:$F$120,3,0),""))&amp;""</f>
        <v/>
      </c>
      <c r="L127" s="205" t="str">
        <f>IFERROR(VLOOKUP($I127,'Institution Evaluation'!$A$55:$F$345,4,0),IFERROR(VLOOKUP($I127,'Privacy Analyst Evaluation'!$A$46:$F$120,4,0),""))&amp;""</f>
        <v/>
      </c>
      <c r="M127" s="205" t="str">
        <f>IFERROR(VLOOKUP($I127,'Institution Evaluation'!$A$55:$F$345,6,0),IFERROR(VLOOKUP($I127,'Privacy Analyst Evaluation'!$A$46:$F$120,6,0),""))&amp;""</f>
        <v/>
      </c>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row>
    <row r="128" spans="1:338" x14ac:dyDescent="0.3">
      <c r="A128" s="205" t="str">
        <f>IFERROR(IF($A127+1&gt;'(backend scoring)'!$T$335,"",$A127+1),"")</f>
        <v/>
      </c>
      <c r="B128" s="205" t="str">
        <f>_xlfn.XLOOKUP($A128,'(backend scoring)'!$V$2:$V$333,'(backend scoring)'!$A$2:$A$333,"")</f>
        <v/>
      </c>
      <c r="C128" s="205" t="str">
        <f>IFERROR(VLOOKUP($B128,'Institution Evaluation'!$A$55:$F$345,2,0),IFERROR(VLOOKUP($B128,'Privacy Analyst Evaluation'!$A$46:$F$120,2,0),""))&amp;""</f>
        <v/>
      </c>
      <c r="D128" s="205" t="str">
        <f>IFERROR(VLOOKUP($B128,'Institution Evaluation'!$A$55:$F$345,3,0),IFERROR(VLOOKUP($B128,'Privacy Analyst Evaluation'!$A$46:$F$120,3,0),""))&amp;""</f>
        <v/>
      </c>
      <c r="E128" s="205" t="str">
        <f>IFERROR(VLOOKUP($B128,'Institution Evaluation'!$A$55:$F$345,4,0),IFERROR(VLOOKUP($B128,'Privacy Analyst Evaluation'!$A$46:$F$120,4,0),""))&amp;""</f>
        <v/>
      </c>
      <c r="F128" s="205" t="str">
        <f>IFERROR(VLOOKUP($B128,'Institution Evaluation'!$A$55:$F$345,6,0),IFERROR(VLOOKUP($B128,'Privacy Analyst Evaluation'!$A$46:$F$120,6,0),""))&amp;""</f>
        <v/>
      </c>
      <c r="G128" s="206"/>
      <c r="H128" s="205" t="str">
        <f>IFERROR(IF($H127+1&gt;'(backend scoring)'!$Q$335,"",$H127+1),"")</f>
        <v/>
      </c>
      <c r="I128" s="205" t="str">
        <f>_xlfn.XLOOKUP($H128,'(backend scoring)'!$S$2:$S$333,'(backend scoring)'!$A$2:$A$333,"")</f>
        <v/>
      </c>
      <c r="J128" s="205" t="str">
        <f>IFERROR(VLOOKUP($I128,'Institution Evaluation'!$A$55:$F$345,2,0),IFERROR(VLOOKUP($I128,'Privacy Analyst Evaluation'!$A$46:$F$120,2,0),""))</f>
        <v/>
      </c>
      <c r="K128" s="205" t="str">
        <f>IFERROR(VLOOKUP($I128,'Institution Evaluation'!$A$55:$F$345,3,0),IFERROR(VLOOKUP($I128,'Privacy Analyst Evaluation'!$A$46:$F$120,3,0),""))&amp;""</f>
        <v/>
      </c>
      <c r="L128" s="205" t="str">
        <f>IFERROR(VLOOKUP($I128,'Institution Evaluation'!$A$55:$F$345,4,0),IFERROR(VLOOKUP($I128,'Privacy Analyst Evaluation'!$A$46:$F$120,4,0),""))&amp;""</f>
        <v/>
      </c>
      <c r="M128" s="205" t="str">
        <f>IFERROR(VLOOKUP($I128,'Institution Evaluation'!$A$55:$F$345,6,0),IFERROR(VLOOKUP($I128,'Privacy Analyst Evaluation'!$A$46:$F$120,6,0),""))&amp;""</f>
        <v/>
      </c>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row>
    <row r="129" spans="1:338" x14ac:dyDescent="0.3">
      <c r="A129" s="205" t="str">
        <f>IFERROR(IF($A128+1&gt;'(backend scoring)'!$T$335,"",$A128+1),"")</f>
        <v/>
      </c>
      <c r="B129" s="205" t="str">
        <f>_xlfn.XLOOKUP($A129,'(backend scoring)'!$V$2:$V$333,'(backend scoring)'!$A$2:$A$333,"")</f>
        <v/>
      </c>
      <c r="C129" s="205" t="str">
        <f>IFERROR(VLOOKUP($B129,'Institution Evaluation'!$A$55:$F$345,2,0),IFERROR(VLOOKUP($B129,'Privacy Analyst Evaluation'!$A$46:$F$120,2,0),""))&amp;""</f>
        <v/>
      </c>
      <c r="D129" s="205" t="str">
        <f>IFERROR(VLOOKUP($B129,'Institution Evaluation'!$A$55:$F$345,3,0),IFERROR(VLOOKUP($B129,'Privacy Analyst Evaluation'!$A$46:$F$120,3,0),""))&amp;""</f>
        <v/>
      </c>
      <c r="E129" s="205" t="str">
        <f>IFERROR(VLOOKUP($B129,'Institution Evaluation'!$A$55:$F$345,4,0),IFERROR(VLOOKUP($B129,'Privacy Analyst Evaluation'!$A$46:$F$120,4,0),""))&amp;""</f>
        <v/>
      </c>
      <c r="F129" s="205" t="str">
        <f>IFERROR(VLOOKUP($B129,'Institution Evaluation'!$A$55:$F$345,6,0),IFERROR(VLOOKUP($B129,'Privacy Analyst Evaluation'!$A$46:$F$120,6,0),""))&amp;""</f>
        <v/>
      </c>
      <c r="G129" s="206"/>
      <c r="H129" s="205" t="str">
        <f>IFERROR(IF($H128+1&gt;'(backend scoring)'!$Q$335,"",$H128+1),"")</f>
        <v/>
      </c>
      <c r="I129" s="205" t="str">
        <f>_xlfn.XLOOKUP($H129,'(backend scoring)'!$S$2:$S$333,'(backend scoring)'!$A$2:$A$333,"")</f>
        <v/>
      </c>
      <c r="J129" s="205" t="str">
        <f>IFERROR(VLOOKUP($I129,'Institution Evaluation'!$A$55:$F$345,2,0),IFERROR(VLOOKUP($I129,'Privacy Analyst Evaluation'!$A$46:$F$120,2,0),""))</f>
        <v/>
      </c>
      <c r="K129" s="205" t="str">
        <f>IFERROR(VLOOKUP($I129,'Institution Evaluation'!$A$55:$F$345,3,0),IFERROR(VLOOKUP($I129,'Privacy Analyst Evaluation'!$A$46:$F$120,3,0),""))&amp;""</f>
        <v/>
      </c>
      <c r="L129" s="205" t="str">
        <f>IFERROR(VLOOKUP($I129,'Institution Evaluation'!$A$55:$F$345,4,0),IFERROR(VLOOKUP($I129,'Privacy Analyst Evaluation'!$A$46:$F$120,4,0),""))&amp;""</f>
        <v/>
      </c>
      <c r="M129" s="205" t="str">
        <f>IFERROR(VLOOKUP($I129,'Institution Evaluation'!$A$55:$F$345,6,0),IFERROR(VLOOKUP($I129,'Privacy Analyst Evaluation'!$A$46:$F$120,6,0),""))&amp;""</f>
        <v/>
      </c>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row>
    <row r="130" spans="1:338" x14ac:dyDescent="0.3">
      <c r="A130" s="205" t="str">
        <f>IFERROR(IF($A129+1&gt;'(backend scoring)'!$T$335,"",$A129+1),"")</f>
        <v/>
      </c>
      <c r="B130" s="205" t="str">
        <f>_xlfn.XLOOKUP($A130,'(backend scoring)'!$V$2:$V$333,'(backend scoring)'!$A$2:$A$333,"")</f>
        <v/>
      </c>
      <c r="C130" s="205" t="str">
        <f>IFERROR(VLOOKUP($B130,'Institution Evaluation'!$A$55:$F$345,2,0),IFERROR(VLOOKUP($B130,'Privacy Analyst Evaluation'!$A$46:$F$120,2,0),""))&amp;""</f>
        <v/>
      </c>
      <c r="D130" s="205" t="str">
        <f>IFERROR(VLOOKUP($B130,'Institution Evaluation'!$A$55:$F$345,3,0),IFERROR(VLOOKUP($B130,'Privacy Analyst Evaluation'!$A$46:$F$120,3,0),""))&amp;""</f>
        <v/>
      </c>
      <c r="E130" s="205" t="str">
        <f>IFERROR(VLOOKUP($B130,'Institution Evaluation'!$A$55:$F$345,4,0),IFERROR(VLOOKUP($B130,'Privacy Analyst Evaluation'!$A$46:$F$120,4,0),""))&amp;""</f>
        <v/>
      </c>
      <c r="F130" s="205" t="str">
        <f>IFERROR(VLOOKUP($B130,'Institution Evaluation'!$A$55:$F$345,6,0),IFERROR(VLOOKUP($B130,'Privacy Analyst Evaluation'!$A$46:$F$120,6,0),""))&amp;""</f>
        <v/>
      </c>
      <c r="G130" s="206"/>
      <c r="H130" s="205" t="str">
        <f>IFERROR(IF($H129+1&gt;'(backend scoring)'!$Q$335,"",$H129+1),"")</f>
        <v/>
      </c>
      <c r="I130" s="205" t="str">
        <f>_xlfn.XLOOKUP($H130,'(backend scoring)'!$S$2:$S$333,'(backend scoring)'!$A$2:$A$333,"")</f>
        <v/>
      </c>
      <c r="J130" s="205" t="str">
        <f>IFERROR(VLOOKUP($I130,'Institution Evaluation'!$A$55:$F$345,2,0),IFERROR(VLOOKUP($I130,'Privacy Analyst Evaluation'!$A$46:$F$120,2,0),""))</f>
        <v/>
      </c>
      <c r="K130" s="205" t="str">
        <f>IFERROR(VLOOKUP($I130,'Institution Evaluation'!$A$55:$F$345,3,0),IFERROR(VLOOKUP($I130,'Privacy Analyst Evaluation'!$A$46:$F$120,3,0),""))&amp;""</f>
        <v/>
      </c>
      <c r="L130" s="205" t="str">
        <f>IFERROR(VLOOKUP($I130,'Institution Evaluation'!$A$55:$F$345,4,0),IFERROR(VLOOKUP($I130,'Privacy Analyst Evaluation'!$A$46:$F$120,4,0),""))&amp;""</f>
        <v/>
      </c>
      <c r="M130" s="205" t="str">
        <f>IFERROR(VLOOKUP($I130,'Institution Evaluation'!$A$55:$F$345,6,0),IFERROR(VLOOKUP($I130,'Privacy Analyst Evaluation'!$A$46:$F$120,6,0),""))&amp;""</f>
        <v/>
      </c>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row>
    <row r="131" spans="1:338" x14ac:dyDescent="0.3">
      <c r="A131" s="205" t="str">
        <f>IFERROR(IF($A130+1&gt;'(backend scoring)'!$T$335,"",$A130+1),"")</f>
        <v/>
      </c>
      <c r="B131" s="205" t="str">
        <f>_xlfn.XLOOKUP($A131,'(backend scoring)'!$V$2:$V$333,'(backend scoring)'!$A$2:$A$333,"")</f>
        <v/>
      </c>
      <c r="C131" s="205" t="str">
        <f>IFERROR(VLOOKUP($B131,'Institution Evaluation'!$A$55:$F$345,2,0),IFERROR(VLOOKUP($B131,'Privacy Analyst Evaluation'!$A$46:$F$120,2,0),""))&amp;""</f>
        <v/>
      </c>
      <c r="D131" s="205" t="str">
        <f>IFERROR(VLOOKUP($B131,'Institution Evaluation'!$A$55:$F$345,3,0),IFERROR(VLOOKUP($B131,'Privacy Analyst Evaluation'!$A$46:$F$120,3,0),""))&amp;""</f>
        <v/>
      </c>
      <c r="E131" s="205" t="str">
        <f>IFERROR(VLOOKUP($B131,'Institution Evaluation'!$A$55:$F$345,4,0),IFERROR(VLOOKUP($B131,'Privacy Analyst Evaluation'!$A$46:$F$120,4,0),""))&amp;""</f>
        <v/>
      </c>
      <c r="F131" s="205" t="str">
        <f>IFERROR(VLOOKUP($B131,'Institution Evaluation'!$A$55:$F$345,6,0),IFERROR(VLOOKUP($B131,'Privacy Analyst Evaluation'!$A$46:$F$120,6,0),""))&amp;""</f>
        <v/>
      </c>
      <c r="G131" s="206"/>
      <c r="H131" s="205" t="str">
        <f>IFERROR(IF($H130+1&gt;'(backend scoring)'!$Q$335,"",$H130+1),"")</f>
        <v/>
      </c>
      <c r="I131" s="205" t="str">
        <f>_xlfn.XLOOKUP($H131,'(backend scoring)'!$S$2:$S$333,'(backend scoring)'!$A$2:$A$333,"")</f>
        <v/>
      </c>
      <c r="J131" s="205" t="str">
        <f>IFERROR(VLOOKUP($I131,'Institution Evaluation'!$A$55:$F$345,2,0),IFERROR(VLOOKUP($I131,'Privacy Analyst Evaluation'!$A$46:$F$120,2,0),""))</f>
        <v/>
      </c>
      <c r="K131" s="205" t="str">
        <f>IFERROR(VLOOKUP($I131,'Institution Evaluation'!$A$55:$F$345,3,0),IFERROR(VLOOKUP($I131,'Privacy Analyst Evaluation'!$A$46:$F$120,3,0),""))&amp;""</f>
        <v/>
      </c>
      <c r="L131" s="205" t="str">
        <f>IFERROR(VLOOKUP($I131,'Institution Evaluation'!$A$55:$F$345,4,0),IFERROR(VLOOKUP($I131,'Privacy Analyst Evaluation'!$A$46:$F$120,4,0),""))&amp;""</f>
        <v/>
      </c>
      <c r="M131" s="205" t="str">
        <f>IFERROR(VLOOKUP($I131,'Institution Evaluation'!$A$55:$F$345,6,0),IFERROR(VLOOKUP($I131,'Privacy Analyst Evaluation'!$A$46:$F$120,6,0),""))&amp;""</f>
        <v/>
      </c>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row>
    <row r="132" spans="1:338" x14ac:dyDescent="0.3">
      <c r="A132" s="205" t="str">
        <f>IFERROR(IF($A131+1&gt;'(backend scoring)'!$T$335,"",$A131+1),"")</f>
        <v/>
      </c>
      <c r="B132" s="205" t="str">
        <f>_xlfn.XLOOKUP($A132,'(backend scoring)'!$V$2:$V$333,'(backend scoring)'!$A$2:$A$333,"")</f>
        <v/>
      </c>
      <c r="C132" s="205" t="str">
        <f>IFERROR(VLOOKUP($B132,'Institution Evaluation'!$A$55:$F$345,2,0),IFERROR(VLOOKUP($B132,'Privacy Analyst Evaluation'!$A$46:$F$120,2,0),""))&amp;""</f>
        <v/>
      </c>
      <c r="D132" s="205" t="str">
        <f>IFERROR(VLOOKUP($B132,'Institution Evaluation'!$A$55:$F$345,3,0),IFERROR(VLOOKUP($B132,'Privacy Analyst Evaluation'!$A$46:$F$120,3,0),""))&amp;""</f>
        <v/>
      </c>
      <c r="E132" s="205" t="str">
        <f>IFERROR(VLOOKUP($B132,'Institution Evaluation'!$A$55:$F$345,4,0),IFERROR(VLOOKUP($B132,'Privacy Analyst Evaluation'!$A$46:$F$120,4,0),""))&amp;""</f>
        <v/>
      </c>
      <c r="F132" s="205" t="str">
        <f>IFERROR(VLOOKUP($B132,'Institution Evaluation'!$A$55:$F$345,6,0),IFERROR(VLOOKUP($B132,'Privacy Analyst Evaluation'!$A$46:$F$120,6,0),""))&amp;""</f>
        <v/>
      </c>
      <c r="G132" s="206"/>
      <c r="H132" s="205" t="str">
        <f>IFERROR(IF($H131+1&gt;'(backend scoring)'!$Q$335,"",$H131+1),"")</f>
        <v/>
      </c>
      <c r="I132" s="205" t="str">
        <f>_xlfn.XLOOKUP($H132,'(backend scoring)'!$S$2:$S$333,'(backend scoring)'!$A$2:$A$333,"")</f>
        <v/>
      </c>
      <c r="J132" s="205" t="str">
        <f>IFERROR(VLOOKUP($I132,'Institution Evaluation'!$A$55:$F$345,2,0),IFERROR(VLOOKUP($I132,'Privacy Analyst Evaluation'!$A$46:$F$120,2,0),""))</f>
        <v/>
      </c>
      <c r="K132" s="205" t="str">
        <f>IFERROR(VLOOKUP($I132,'Institution Evaluation'!$A$55:$F$345,3,0),IFERROR(VLOOKUP($I132,'Privacy Analyst Evaluation'!$A$46:$F$120,3,0),""))&amp;""</f>
        <v/>
      </c>
      <c r="L132" s="205" t="str">
        <f>IFERROR(VLOOKUP($I132,'Institution Evaluation'!$A$55:$F$345,4,0),IFERROR(VLOOKUP($I132,'Privacy Analyst Evaluation'!$A$46:$F$120,4,0),""))&amp;""</f>
        <v/>
      </c>
      <c r="M132" s="205" t="str">
        <f>IFERROR(VLOOKUP($I132,'Institution Evaluation'!$A$55:$F$345,6,0),IFERROR(VLOOKUP($I132,'Privacy Analyst Evaluation'!$A$46:$F$120,6,0),""))&amp;""</f>
        <v/>
      </c>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row>
    <row r="133" spans="1:338" x14ac:dyDescent="0.3">
      <c r="A133" s="205" t="str">
        <f>IFERROR(IF($A132+1&gt;'(backend scoring)'!$T$335,"",$A132+1),"")</f>
        <v/>
      </c>
      <c r="B133" s="205" t="str">
        <f>_xlfn.XLOOKUP($A133,'(backend scoring)'!$V$2:$V$333,'(backend scoring)'!$A$2:$A$333,"")</f>
        <v/>
      </c>
      <c r="C133" s="205" t="str">
        <f>IFERROR(VLOOKUP($B133,'Institution Evaluation'!$A$55:$F$345,2,0),IFERROR(VLOOKUP($B133,'Privacy Analyst Evaluation'!$A$46:$F$120,2,0),""))&amp;""</f>
        <v/>
      </c>
      <c r="D133" s="205" t="str">
        <f>IFERROR(VLOOKUP($B133,'Institution Evaluation'!$A$55:$F$345,3,0),IFERROR(VLOOKUP($B133,'Privacy Analyst Evaluation'!$A$46:$F$120,3,0),""))&amp;""</f>
        <v/>
      </c>
      <c r="E133" s="205" t="str">
        <f>IFERROR(VLOOKUP($B133,'Institution Evaluation'!$A$55:$F$345,4,0),IFERROR(VLOOKUP($B133,'Privacy Analyst Evaluation'!$A$46:$F$120,4,0),""))&amp;""</f>
        <v/>
      </c>
      <c r="F133" s="205" t="str">
        <f>IFERROR(VLOOKUP($B133,'Institution Evaluation'!$A$55:$F$345,6,0),IFERROR(VLOOKUP($B133,'Privacy Analyst Evaluation'!$A$46:$F$120,6,0),""))&amp;""</f>
        <v/>
      </c>
      <c r="G133" s="206"/>
      <c r="H133" s="205" t="str">
        <f>IFERROR(IF($H132+1&gt;'(backend scoring)'!$Q$335,"",$H132+1),"")</f>
        <v/>
      </c>
      <c r="I133" s="205" t="str">
        <f>_xlfn.XLOOKUP($H133,'(backend scoring)'!$S$2:$S$333,'(backend scoring)'!$A$2:$A$333,"")</f>
        <v/>
      </c>
      <c r="J133" s="205" t="str">
        <f>IFERROR(VLOOKUP($I133,'Institution Evaluation'!$A$55:$F$345,2,0),IFERROR(VLOOKUP($I133,'Privacy Analyst Evaluation'!$A$46:$F$120,2,0),""))</f>
        <v/>
      </c>
      <c r="K133" s="205" t="str">
        <f>IFERROR(VLOOKUP($I133,'Institution Evaluation'!$A$55:$F$345,3,0),IFERROR(VLOOKUP($I133,'Privacy Analyst Evaluation'!$A$46:$F$120,3,0),""))&amp;""</f>
        <v/>
      </c>
      <c r="L133" s="205" t="str">
        <f>IFERROR(VLOOKUP($I133,'Institution Evaluation'!$A$55:$F$345,4,0),IFERROR(VLOOKUP($I133,'Privacy Analyst Evaluation'!$A$46:$F$120,4,0),""))&amp;""</f>
        <v/>
      </c>
      <c r="M133" s="205" t="str">
        <f>IFERROR(VLOOKUP($I133,'Institution Evaluation'!$A$55:$F$345,6,0),IFERROR(VLOOKUP($I133,'Privacy Analyst Evaluation'!$A$46:$F$120,6,0),""))&amp;""</f>
        <v/>
      </c>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row>
    <row r="134" spans="1:338" x14ac:dyDescent="0.3">
      <c r="A134" s="205" t="str">
        <f>IFERROR(IF($A133+1&gt;'(backend scoring)'!$T$335,"",$A133+1),"")</f>
        <v/>
      </c>
      <c r="B134" s="205" t="str">
        <f>_xlfn.XLOOKUP($A134,'(backend scoring)'!$V$2:$V$333,'(backend scoring)'!$A$2:$A$333,"")</f>
        <v/>
      </c>
      <c r="C134" s="205" t="str">
        <f>IFERROR(VLOOKUP($B134,'Institution Evaluation'!$A$55:$F$345,2,0),IFERROR(VLOOKUP($B134,'Privacy Analyst Evaluation'!$A$46:$F$120,2,0),""))&amp;""</f>
        <v/>
      </c>
      <c r="D134" s="205" t="str">
        <f>IFERROR(VLOOKUP($B134,'Institution Evaluation'!$A$55:$F$345,3,0),IFERROR(VLOOKUP($B134,'Privacy Analyst Evaluation'!$A$46:$F$120,3,0),""))&amp;""</f>
        <v/>
      </c>
      <c r="E134" s="205" t="str">
        <f>IFERROR(VLOOKUP($B134,'Institution Evaluation'!$A$55:$F$345,4,0),IFERROR(VLOOKUP($B134,'Privacy Analyst Evaluation'!$A$46:$F$120,4,0),""))&amp;""</f>
        <v/>
      </c>
      <c r="F134" s="205" t="str">
        <f>IFERROR(VLOOKUP($B134,'Institution Evaluation'!$A$55:$F$345,6,0),IFERROR(VLOOKUP($B134,'Privacy Analyst Evaluation'!$A$46:$F$120,6,0),""))&amp;""</f>
        <v/>
      </c>
      <c r="G134" s="206"/>
      <c r="H134" s="205" t="str">
        <f>IFERROR(IF($H133+1&gt;'(backend scoring)'!$Q$335,"",$H133+1),"")</f>
        <v/>
      </c>
      <c r="I134" s="205" t="str">
        <f>_xlfn.XLOOKUP($H134,'(backend scoring)'!$S$2:$S$333,'(backend scoring)'!$A$2:$A$333,"")</f>
        <v/>
      </c>
      <c r="J134" s="205" t="str">
        <f>IFERROR(VLOOKUP($I134,'Institution Evaluation'!$A$55:$F$345,2,0),IFERROR(VLOOKUP($I134,'Privacy Analyst Evaluation'!$A$46:$F$120,2,0),""))</f>
        <v/>
      </c>
      <c r="K134" s="205" t="str">
        <f>IFERROR(VLOOKUP($I134,'Institution Evaluation'!$A$55:$F$345,3,0),IFERROR(VLOOKUP($I134,'Privacy Analyst Evaluation'!$A$46:$F$120,3,0),""))&amp;""</f>
        <v/>
      </c>
      <c r="L134" s="205" t="str">
        <f>IFERROR(VLOOKUP($I134,'Institution Evaluation'!$A$55:$F$345,4,0),IFERROR(VLOOKUP($I134,'Privacy Analyst Evaluation'!$A$46:$F$120,4,0),""))&amp;""</f>
        <v/>
      </c>
      <c r="M134" s="205" t="str">
        <f>IFERROR(VLOOKUP($I134,'Institution Evaluation'!$A$55:$F$345,6,0),IFERROR(VLOOKUP($I134,'Privacy Analyst Evaluation'!$A$46:$F$120,6,0),""))&amp;""</f>
        <v/>
      </c>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row>
    <row r="135" spans="1:338" x14ac:dyDescent="0.3">
      <c r="A135" s="205" t="str">
        <f>IFERROR(IF($A134+1&gt;'(backend scoring)'!$T$335,"",$A134+1),"")</f>
        <v/>
      </c>
      <c r="B135" s="205" t="str">
        <f>_xlfn.XLOOKUP($A135,'(backend scoring)'!$V$2:$V$333,'(backend scoring)'!$A$2:$A$333,"")</f>
        <v/>
      </c>
      <c r="C135" s="205" t="str">
        <f>IFERROR(VLOOKUP($B135,'Institution Evaluation'!$A$55:$F$345,2,0),IFERROR(VLOOKUP($B135,'Privacy Analyst Evaluation'!$A$46:$F$120,2,0),""))&amp;""</f>
        <v/>
      </c>
      <c r="D135" s="205" t="str">
        <f>IFERROR(VLOOKUP($B135,'Institution Evaluation'!$A$55:$F$345,3,0),IFERROR(VLOOKUP($B135,'Privacy Analyst Evaluation'!$A$46:$F$120,3,0),""))&amp;""</f>
        <v/>
      </c>
      <c r="E135" s="205" t="str">
        <f>IFERROR(VLOOKUP($B135,'Institution Evaluation'!$A$55:$F$345,4,0),IFERROR(VLOOKUP($B135,'Privacy Analyst Evaluation'!$A$46:$F$120,4,0),""))&amp;""</f>
        <v/>
      </c>
      <c r="F135" s="205" t="str">
        <f>IFERROR(VLOOKUP($B135,'Institution Evaluation'!$A$55:$F$345,6,0),IFERROR(VLOOKUP($B135,'Privacy Analyst Evaluation'!$A$46:$F$120,6,0),""))&amp;""</f>
        <v/>
      </c>
      <c r="G135" s="206"/>
      <c r="H135" s="205" t="str">
        <f>IFERROR(IF($H134+1&gt;'(backend scoring)'!$Q$335,"",$H134+1),"")</f>
        <v/>
      </c>
      <c r="I135" s="205" t="str">
        <f>_xlfn.XLOOKUP($H135,'(backend scoring)'!$S$2:$S$333,'(backend scoring)'!$A$2:$A$333,"")</f>
        <v/>
      </c>
      <c r="J135" s="205" t="str">
        <f>IFERROR(VLOOKUP($I135,'Institution Evaluation'!$A$55:$F$345,2,0),IFERROR(VLOOKUP($I135,'Privacy Analyst Evaluation'!$A$46:$F$120,2,0),""))</f>
        <v/>
      </c>
      <c r="K135" s="205" t="str">
        <f>IFERROR(VLOOKUP($I135,'Institution Evaluation'!$A$55:$F$345,3,0),IFERROR(VLOOKUP($I135,'Privacy Analyst Evaluation'!$A$46:$F$120,3,0),""))&amp;""</f>
        <v/>
      </c>
      <c r="L135" s="205" t="str">
        <f>IFERROR(VLOOKUP($I135,'Institution Evaluation'!$A$55:$F$345,4,0),IFERROR(VLOOKUP($I135,'Privacy Analyst Evaluation'!$A$46:$F$120,4,0),""))&amp;""</f>
        <v/>
      </c>
      <c r="M135" s="205" t="str">
        <f>IFERROR(VLOOKUP($I135,'Institution Evaluation'!$A$55:$F$345,6,0),IFERROR(VLOOKUP($I135,'Privacy Analyst Evaluation'!$A$46:$F$120,6,0),""))&amp;""</f>
        <v/>
      </c>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row>
    <row r="136" spans="1:338" x14ac:dyDescent="0.3">
      <c r="A136" s="205" t="str">
        <f>IFERROR(IF($A135+1&gt;'(backend scoring)'!$T$335,"",$A135+1),"")</f>
        <v/>
      </c>
      <c r="B136" s="205" t="str">
        <f>_xlfn.XLOOKUP($A136,'(backend scoring)'!$V$2:$V$333,'(backend scoring)'!$A$2:$A$333,"")</f>
        <v/>
      </c>
      <c r="C136" s="205" t="str">
        <f>IFERROR(VLOOKUP($B136,'Institution Evaluation'!$A$55:$F$345,2,0),IFERROR(VLOOKUP($B136,'Privacy Analyst Evaluation'!$A$46:$F$120,2,0),""))&amp;""</f>
        <v/>
      </c>
      <c r="D136" s="205" t="str">
        <f>IFERROR(VLOOKUP($B136,'Institution Evaluation'!$A$55:$F$345,3,0),IFERROR(VLOOKUP($B136,'Privacy Analyst Evaluation'!$A$46:$F$120,3,0),""))&amp;""</f>
        <v/>
      </c>
      <c r="E136" s="205" t="str">
        <f>IFERROR(VLOOKUP($B136,'Institution Evaluation'!$A$55:$F$345,4,0),IFERROR(VLOOKUP($B136,'Privacy Analyst Evaluation'!$A$46:$F$120,4,0),""))&amp;""</f>
        <v/>
      </c>
      <c r="F136" s="205" t="str">
        <f>IFERROR(VLOOKUP($B136,'Institution Evaluation'!$A$55:$F$345,6,0),IFERROR(VLOOKUP($B136,'Privacy Analyst Evaluation'!$A$46:$F$120,6,0),""))&amp;""</f>
        <v/>
      </c>
      <c r="G136" s="206"/>
      <c r="H136" s="205" t="str">
        <f>IFERROR(IF($H135+1&gt;'(backend scoring)'!$Q$335,"",$H135+1),"")</f>
        <v/>
      </c>
      <c r="I136" s="205" t="str">
        <f>_xlfn.XLOOKUP($H136,'(backend scoring)'!$S$2:$S$333,'(backend scoring)'!$A$2:$A$333,"")</f>
        <v/>
      </c>
      <c r="J136" s="205" t="str">
        <f>IFERROR(VLOOKUP($I136,'Institution Evaluation'!$A$55:$F$345,2,0),IFERROR(VLOOKUP($I136,'Privacy Analyst Evaluation'!$A$46:$F$120,2,0),""))</f>
        <v/>
      </c>
      <c r="K136" s="205" t="str">
        <f>IFERROR(VLOOKUP($I136,'Institution Evaluation'!$A$55:$F$345,3,0),IFERROR(VLOOKUP($I136,'Privacy Analyst Evaluation'!$A$46:$F$120,3,0),""))&amp;""</f>
        <v/>
      </c>
      <c r="L136" s="205" t="str">
        <f>IFERROR(VLOOKUP($I136,'Institution Evaluation'!$A$55:$F$345,4,0),IFERROR(VLOOKUP($I136,'Privacy Analyst Evaluation'!$A$46:$F$120,4,0),""))&amp;""</f>
        <v/>
      </c>
      <c r="M136" s="205" t="str">
        <f>IFERROR(VLOOKUP($I136,'Institution Evaluation'!$A$55:$F$345,6,0),IFERROR(VLOOKUP($I136,'Privacy Analyst Evaluation'!$A$46:$F$120,6,0),""))&amp;""</f>
        <v/>
      </c>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row>
    <row r="137" spans="1:338" x14ac:dyDescent="0.3">
      <c r="A137" s="205" t="str">
        <f>IFERROR(IF($A136+1&gt;'(backend scoring)'!$T$335,"",$A136+1),"")</f>
        <v/>
      </c>
      <c r="B137" s="205" t="str">
        <f>_xlfn.XLOOKUP($A137,'(backend scoring)'!$V$2:$V$333,'(backend scoring)'!$A$2:$A$333,"")</f>
        <v/>
      </c>
      <c r="C137" s="205" t="str">
        <f>IFERROR(VLOOKUP($B137,'Institution Evaluation'!$A$55:$F$345,2,0),IFERROR(VLOOKUP($B137,'Privacy Analyst Evaluation'!$A$46:$F$120,2,0),""))&amp;""</f>
        <v/>
      </c>
      <c r="D137" s="205" t="str">
        <f>IFERROR(VLOOKUP($B137,'Institution Evaluation'!$A$55:$F$345,3,0),IFERROR(VLOOKUP($B137,'Privacy Analyst Evaluation'!$A$46:$F$120,3,0),""))&amp;""</f>
        <v/>
      </c>
      <c r="E137" s="205" t="str">
        <f>IFERROR(VLOOKUP($B137,'Institution Evaluation'!$A$55:$F$345,4,0),IFERROR(VLOOKUP($B137,'Privacy Analyst Evaluation'!$A$46:$F$120,4,0),""))&amp;""</f>
        <v/>
      </c>
      <c r="F137" s="205" t="str">
        <f>IFERROR(VLOOKUP($B137,'Institution Evaluation'!$A$55:$F$345,6,0),IFERROR(VLOOKUP($B137,'Privacy Analyst Evaluation'!$A$46:$F$120,6,0),""))&amp;""</f>
        <v/>
      </c>
      <c r="G137" s="206"/>
      <c r="H137" s="205" t="str">
        <f>IFERROR(IF($H136+1&gt;'(backend scoring)'!$Q$335,"",$H136+1),"")</f>
        <v/>
      </c>
      <c r="I137" s="205" t="str">
        <f>_xlfn.XLOOKUP($H137,'(backend scoring)'!$S$2:$S$333,'(backend scoring)'!$A$2:$A$333,"")</f>
        <v/>
      </c>
      <c r="J137" s="205" t="str">
        <f>IFERROR(VLOOKUP($I137,'Institution Evaluation'!$A$55:$F$345,2,0),IFERROR(VLOOKUP($I137,'Privacy Analyst Evaluation'!$A$46:$F$120,2,0),""))</f>
        <v/>
      </c>
      <c r="K137" s="205" t="str">
        <f>IFERROR(VLOOKUP($I137,'Institution Evaluation'!$A$55:$F$345,3,0),IFERROR(VLOOKUP($I137,'Privacy Analyst Evaluation'!$A$46:$F$120,3,0),""))&amp;""</f>
        <v/>
      </c>
      <c r="L137" s="205" t="str">
        <f>IFERROR(VLOOKUP($I137,'Institution Evaluation'!$A$55:$F$345,4,0),IFERROR(VLOOKUP($I137,'Privacy Analyst Evaluation'!$A$46:$F$120,4,0),""))&amp;""</f>
        <v/>
      </c>
      <c r="M137" s="205" t="str">
        <f>IFERROR(VLOOKUP($I137,'Institution Evaluation'!$A$55:$F$345,6,0),IFERROR(VLOOKUP($I137,'Privacy Analyst Evaluation'!$A$46:$F$120,6,0),""))&amp;""</f>
        <v/>
      </c>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row>
    <row r="138" spans="1:338" x14ac:dyDescent="0.3">
      <c r="A138" s="205" t="str">
        <f>IFERROR(IF($A137+1&gt;'(backend scoring)'!$T$335,"",$A137+1),"")</f>
        <v/>
      </c>
      <c r="B138" s="205" t="str">
        <f>_xlfn.XLOOKUP($A138,'(backend scoring)'!$V$2:$V$333,'(backend scoring)'!$A$2:$A$333,"")</f>
        <v/>
      </c>
      <c r="C138" s="205" t="str">
        <f>IFERROR(VLOOKUP($B138,'Institution Evaluation'!$A$55:$F$345,2,0),IFERROR(VLOOKUP($B138,'Privacy Analyst Evaluation'!$A$46:$F$120,2,0),""))&amp;""</f>
        <v/>
      </c>
      <c r="D138" s="205" t="str">
        <f>IFERROR(VLOOKUP($B138,'Institution Evaluation'!$A$55:$F$345,3,0),IFERROR(VLOOKUP($B138,'Privacy Analyst Evaluation'!$A$46:$F$120,3,0),""))&amp;""</f>
        <v/>
      </c>
      <c r="E138" s="205" t="str">
        <f>IFERROR(VLOOKUP($B138,'Institution Evaluation'!$A$55:$F$345,4,0),IFERROR(VLOOKUP($B138,'Privacy Analyst Evaluation'!$A$46:$F$120,4,0),""))&amp;""</f>
        <v/>
      </c>
      <c r="F138" s="205" t="str">
        <f>IFERROR(VLOOKUP($B138,'Institution Evaluation'!$A$55:$F$345,6,0),IFERROR(VLOOKUP($B138,'Privacy Analyst Evaluation'!$A$46:$F$120,6,0),""))&amp;""</f>
        <v/>
      </c>
      <c r="G138" s="206"/>
      <c r="H138" s="205" t="str">
        <f>IFERROR(IF($H137+1&gt;'(backend scoring)'!$Q$335,"",$H137+1),"")</f>
        <v/>
      </c>
      <c r="I138" s="205" t="str">
        <f>_xlfn.XLOOKUP($H138,'(backend scoring)'!$S$2:$S$333,'(backend scoring)'!$A$2:$A$333,"")</f>
        <v/>
      </c>
      <c r="J138" s="205" t="str">
        <f>IFERROR(VLOOKUP($I138,'Institution Evaluation'!$A$55:$F$345,2,0),IFERROR(VLOOKUP($I138,'Privacy Analyst Evaluation'!$A$46:$F$120,2,0),""))</f>
        <v/>
      </c>
      <c r="K138" s="205" t="str">
        <f>IFERROR(VLOOKUP($I138,'Institution Evaluation'!$A$55:$F$345,3,0),IFERROR(VLOOKUP($I138,'Privacy Analyst Evaluation'!$A$46:$F$120,3,0),""))&amp;""</f>
        <v/>
      </c>
      <c r="L138" s="205" t="str">
        <f>IFERROR(VLOOKUP($I138,'Institution Evaluation'!$A$55:$F$345,4,0),IFERROR(VLOOKUP($I138,'Privacy Analyst Evaluation'!$A$46:$F$120,4,0),""))&amp;""</f>
        <v/>
      </c>
      <c r="M138" s="205" t="str">
        <f>IFERROR(VLOOKUP($I138,'Institution Evaluation'!$A$55:$F$345,6,0),IFERROR(VLOOKUP($I138,'Privacy Analyst Evaluation'!$A$46:$F$120,6,0),""))&amp;""</f>
        <v/>
      </c>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row>
    <row r="139" spans="1:338" x14ac:dyDescent="0.3">
      <c r="A139" s="205" t="str">
        <f>IFERROR(IF($A138+1&gt;'(backend scoring)'!$T$335,"",$A138+1),"")</f>
        <v/>
      </c>
      <c r="B139" s="205" t="str">
        <f>_xlfn.XLOOKUP($A139,'(backend scoring)'!$V$2:$V$333,'(backend scoring)'!$A$2:$A$333,"")</f>
        <v/>
      </c>
      <c r="C139" s="205" t="str">
        <f>IFERROR(VLOOKUP($B139,'Institution Evaluation'!$A$55:$F$345,2,0),IFERROR(VLOOKUP($B139,'Privacy Analyst Evaluation'!$A$46:$F$120,2,0),""))&amp;""</f>
        <v/>
      </c>
      <c r="D139" s="205" t="str">
        <f>IFERROR(VLOOKUP($B139,'Institution Evaluation'!$A$55:$F$345,3,0),IFERROR(VLOOKUP($B139,'Privacy Analyst Evaluation'!$A$46:$F$120,3,0),""))&amp;""</f>
        <v/>
      </c>
      <c r="E139" s="205" t="str">
        <f>IFERROR(VLOOKUP($B139,'Institution Evaluation'!$A$55:$F$345,4,0),IFERROR(VLOOKUP($B139,'Privacy Analyst Evaluation'!$A$46:$F$120,4,0),""))&amp;""</f>
        <v/>
      </c>
      <c r="F139" s="205" t="str">
        <f>IFERROR(VLOOKUP($B139,'Institution Evaluation'!$A$55:$F$345,6,0),IFERROR(VLOOKUP($B139,'Privacy Analyst Evaluation'!$A$46:$F$120,6,0),""))&amp;""</f>
        <v/>
      </c>
      <c r="G139" s="206"/>
      <c r="H139" s="205" t="str">
        <f>IFERROR(IF($H138+1&gt;'(backend scoring)'!$Q$335,"",$H138+1),"")</f>
        <v/>
      </c>
      <c r="I139" s="205" t="str">
        <f>_xlfn.XLOOKUP($H139,'(backend scoring)'!$S$2:$S$333,'(backend scoring)'!$A$2:$A$333,"")</f>
        <v/>
      </c>
      <c r="J139" s="205" t="str">
        <f>IFERROR(VLOOKUP($I139,'Institution Evaluation'!$A$55:$F$345,2,0),IFERROR(VLOOKUP($I139,'Privacy Analyst Evaluation'!$A$46:$F$120,2,0),""))</f>
        <v/>
      </c>
      <c r="K139" s="205" t="str">
        <f>IFERROR(VLOOKUP($I139,'Institution Evaluation'!$A$55:$F$345,3,0),IFERROR(VLOOKUP($I139,'Privacy Analyst Evaluation'!$A$46:$F$120,3,0),""))&amp;""</f>
        <v/>
      </c>
      <c r="L139" s="205" t="str">
        <f>IFERROR(VLOOKUP($I139,'Institution Evaluation'!$A$55:$F$345,4,0),IFERROR(VLOOKUP($I139,'Privacy Analyst Evaluation'!$A$46:$F$120,4,0),""))&amp;""</f>
        <v/>
      </c>
      <c r="M139" s="205" t="str">
        <f>IFERROR(VLOOKUP($I139,'Institution Evaluation'!$A$55:$F$345,6,0),IFERROR(VLOOKUP($I139,'Privacy Analyst Evaluation'!$A$46:$F$120,6,0),""))&amp;""</f>
        <v/>
      </c>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row>
    <row r="140" spans="1:338" x14ac:dyDescent="0.3">
      <c r="A140" s="205" t="str">
        <f>IFERROR(IF($A139+1&gt;'(backend scoring)'!$T$335,"",$A139+1),"")</f>
        <v/>
      </c>
      <c r="B140" s="205" t="str">
        <f>_xlfn.XLOOKUP($A140,'(backend scoring)'!$V$2:$V$333,'(backend scoring)'!$A$2:$A$333,"")</f>
        <v/>
      </c>
      <c r="C140" s="205" t="str">
        <f>IFERROR(VLOOKUP($B140,'Institution Evaluation'!$A$55:$F$345,2,0),IFERROR(VLOOKUP($B140,'Privacy Analyst Evaluation'!$A$46:$F$120,2,0),""))&amp;""</f>
        <v/>
      </c>
      <c r="D140" s="205" t="str">
        <f>IFERROR(VLOOKUP($B140,'Institution Evaluation'!$A$55:$F$345,3,0),IFERROR(VLOOKUP($B140,'Privacy Analyst Evaluation'!$A$46:$F$120,3,0),""))&amp;""</f>
        <v/>
      </c>
      <c r="E140" s="205" t="str">
        <f>IFERROR(VLOOKUP($B140,'Institution Evaluation'!$A$55:$F$345,4,0),IFERROR(VLOOKUP($B140,'Privacy Analyst Evaluation'!$A$46:$F$120,4,0),""))&amp;""</f>
        <v/>
      </c>
      <c r="F140" s="205" t="str">
        <f>IFERROR(VLOOKUP($B140,'Institution Evaluation'!$A$55:$F$345,6,0),IFERROR(VLOOKUP($B140,'Privacy Analyst Evaluation'!$A$46:$F$120,6,0),""))&amp;""</f>
        <v/>
      </c>
      <c r="G140" s="206"/>
      <c r="H140" s="205" t="str">
        <f>IFERROR(IF($H139+1&gt;'(backend scoring)'!$Q$335,"",$H139+1),"")</f>
        <v/>
      </c>
      <c r="I140" s="205" t="str">
        <f>_xlfn.XLOOKUP($H140,'(backend scoring)'!$S$2:$S$333,'(backend scoring)'!$A$2:$A$333,"")</f>
        <v/>
      </c>
      <c r="J140" s="205" t="str">
        <f>IFERROR(VLOOKUP($I140,'Institution Evaluation'!$A$55:$F$345,2,0),IFERROR(VLOOKUP($I140,'Privacy Analyst Evaluation'!$A$46:$F$120,2,0),""))</f>
        <v/>
      </c>
      <c r="K140" s="205" t="str">
        <f>IFERROR(VLOOKUP($I140,'Institution Evaluation'!$A$55:$F$345,3,0),IFERROR(VLOOKUP($I140,'Privacy Analyst Evaluation'!$A$46:$F$120,3,0),""))&amp;""</f>
        <v/>
      </c>
      <c r="L140" s="205" t="str">
        <f>IFERROR(VLOOKUP($I140,'Institution Evaluation'!$A$55:$F$345,4,0),IFERROR(VLOOKUP($I140,'Privacy Analyst Evaluation'!$A$46:$F$120,4,0),""))&amp;""</f>
        <v/>
      </c>
      <c r="M140" s="205" t="str">
        <f>IFERROR(VLOOKUP($I140,'Institution Evaluation'!$A$55:$F$345,6,0),IFERROR(VLOOKUP($I140,'Privacy Analyst Evaluation'!$A$46:$F$120,6,0),""))&amp;""</f>
        <v/>
      </c>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row>
    <row r="141" spans="1:338" x14ac:dyDescent="0.3">
      <c r="A141" s="205" t="str">
        <f>IFERROR(IF($A140+1&gt;'(backend scoring)'!$T$335,"",$A140+1),"")</f>
        <v/>
      </c>
      <c r="B141" s="205" t="str">
        <f>_xlfn.XLOOKUP($A141,'(backend scoring)'!$V$2:$V$333,'(backend scoring)'!$A$2:$A$333,"")</f>
        <v/>
      </c>
      <c r="C141" s="205" t="str">
        <f>IFERROR(VLOOKUP($B141,'Institution Evaluation'!$A$55:$F$345,2,0),IFERROR(VLOOKUP($B141,'Privacy Analyst Evaluation'!$A$46:$F$120,2,0),""))&amp;""</f>
        <v/>
      </c>
      <c r="D141" s="205" t="str">
        <f>IFERROR(VLOOKUP($B141,'Institution Evaluation'!$A$55:$F$345,3,0),IFERROR(VLOOKUP($B141,'Privacy Analyst Evaluation'!$A$46:$F$120,3,0),""))&amp;""</f>
        <v/>
      </c>
      <c r="E141" s="205" t="str">
        <f>IFERROR(VLOOKUP($B141,'Institution Evaluation'!$A$55:$F$345,4,0),IFERROR(VLOOKUP($B141,'Privacy Analyst Evaluation'!$A$46:$F$120,4,0),""))&amp;""</f>
        <v/>
      </c>
      <c r="F141" s="205" t="str">
        <f>IFERROR(VLOOKUP($B141,'Institution Evaluation'!$A$55:$F$345,6,0),IFERROR(VLOOKUP($B141,'Privacy Analyst Evaluation'!$A$46:$F$120,6,0),""))&amp;""</f>
        <v/>
      </c>
      <c r="G141" s="206"/>
      <c r="H141" s="205" t="str">
        <f>IFERROR(IF($H140+1&gt;'(backend scoring)'!$Q$335,"",$H140+1),"")</f>
        <v/>
      </c>
      <c r="I141" s="205" t="str">
        <f>_xlfn.XLOOKUP($H141,'(backend scoring)'!$S$2:$S$333,'(backend scoring)'!$A$2:$A$333,"")</f>
        <v/>
      </c>
      <c r="J141" s="205" t="str">
        <f>IFERROR(VLOOKUP($I141,'Institution Evaluation'!$A$55:$F$345,2,0),IFERROR(VLOOKUP($I141,'Privacy Analyst Evaluation'!$A$46:$F$120,2,0),""))</f>
        <v/>
      </c>
      <c r="K141" s="205" t="str">
        <f>IFERROR(VLOOKUP($I141,'Institution Evaluation'!$A$55:$F$345,3,0),IFERROR(VLOOKUP($I141,'Privacy Analyst Evaluation'!$A$46:$F$120,3,0),""))&amp;""</f>
        <v/>
      </c>
      <c r="L141" s="205" t="str">
        <f>IFERROR(VLOOKUP($I141,'Institution Evaluation'!$A$55:$F$345,4,0),IFERROR(VLOOKUP($I141,'Privacy Analyst Evaluation'!$A$46:$F$120,4,0),""))&amp;""</f>
        <v/>
      </c>
      <c r="M141" s="205" t="str">
        <f>IFERROR(VLOOKUP($I141,'Institution Evaluation'!$A$55:$F$345,6,0),IFERROR(VLOOKUP($I141,'Privacy Analyst Evaluation'!$A$46:$F$120,6,0),""))&amp;""</f>
        <v/>
      </c>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row>
    <row r="142" spans="1:338" x14ac:dyDescent="0.3">
      <c r="A142" s="205" t="str">
        <f>IFERROR(IF($A141+1&gt;'(backend scoring)'!$T$335,"",$A141+1),"")</f>
        <v/>
      </c>
      <c r="B142" s="205" t="str">
        <f>_xlfn.XLOOKUP($A142,'(backend scoring)'!$V$2:$V$333,'(backend scoring)'!$A$2:$A$333,"")</f>
        <v/>
      </c>
      <c r="C142" s="205" t="str">
        <f>IFERROR(VLOOKUP($B142,'Institution Evaluation'!$A$55:$F$345,2,0),IFERROR(VLOOKUP($B142,'Privacy Analyst Evaluation'!$A$46:$F$120,2,0),""))&amp;""</f>
        <v/>
      </c>
      <c r="D142" s="205" t="str">
        <f>IFERROR(VLOOKUP($B142,'Institution Evaluation'!$A$55:$F$345,3,0),IFERROR(VLOOKUP($B142,'Privacy Analyst Evaluation'!$A$46:$F$120,3,0),""))&amp;""</f>
        <v/>
      </c>
      <c r="E142" s="205" t="str">
        <f>IFERROR(VLOOKUP($B142,'Institution Evaluation'!$A$55:$F$345,4,0),IFERROR(VLOOKUP($B142,'Privacy Analyst Evaluation'!$A$46:$F$120,4,0),""))&amp;""</f>
        <v/>
      </c>
      <c r="F142" s="205" t="str">
        <f>IFERROR(VLOOKUP($B142,'Institution Evaluation'!$A$55:$F$345,6,0),IFERROR(VLOOKUP($B142,'Privacy Analyst Evaluation'!$A$46:$F$120,6,0),""))&amp;""</f>
        <v/>
      </c>
      <c r="G142" s="206"/>
      <c r="H142" s="205" t="str">
        <f>IFERROR(IF($H141+1&gt;'(backend scoring)'!$Q$335,"",$H141+1),"")</f>
        <v/>
      </c>
      <c r="I142" s="205" t="str">
        <f>_xlfn.XLOOKUP($H142,'(backend scoring)'!$S$2:$S$333,'(backend scoring)'!$A$2:$A$333,"")</f>
        <v/>
      </c>
      <c r="J142" s="205" t="str">
        <f>IFERROR(VLOOKUP($I142,'Institution Evaluation'!$A$55:$F$345,2,0),IFERROR(VLOOKUP($I142,'Privacy Analyst Evaluation'!$A$46:$F$120,2,0),""))</f>
        <v/>
      </c>
      <c r="K142" s="205" t="str">
        <f>IFERROR(VLOOKUP($I142,'Institution Evaluation'!$A$55:$F$345,3,0),IFERROR(VLOOKUP($I142,'Privacy Analyst Evaluation'!$A$46:$F$120,3,0),""))&amp;""</f>
        <v/>
      </c>
      <c r="L142" s="205" t="str">
        <f>IFERROR(VLOOKUP($I142,'Institution Evaluation'!$A$55:$F$345,4,0),IFERROR(VLOOKUP($I142,'Privacy Analyst Evaluation'!$A$46:$F$120,4,0),""))&amp;""</f>
        <v/>
      </c>
      <c r="M142" s="205" t="str">
        <f>IFERROR(VLOOKUP($I142,'Institution Evaluation'!$A$55:$F$345,6,0),IFERROR(VLOOKUP($I142,'Privacy Analyst Evaluation'!$A$46:$F$120,6,0),""))&amp;""</f>
        <v/>
      </c>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row>
    <row r="143" spans="1:338" x14ac:dyDescent="0.3">
      <c r="A143" s="205" t="str">
        <f>IFERROR(IF($A142+1&gt;'(backend scoring)'!$T$335,"",$A142+1),"")</f>
        <v/>
      </c>
      <c r="B143" s="205" t="str">
        <f>_xlfn.XLOOKUP($A143,'(backend scoring)'!$V$2:$V$333,'(backend scoring)'!$A$2:$A$333,"")</f>
        <v/>
      </c>
      <c r="C143" s="205" t="str">
        <f>IFERROR(VLOOKUP($B143,'Institution Evaluation'!$A$55:$F$345,2,0),IFERROR(VLOOKUP($B143,'Privacy Analyst Evaluation'!$A$46:$F$120,2,0),""))&amp;""</f>
        <v/>
      </c>
      <c r="D143" s="205" t="str">
        <f>IFERROR(VLOOKUP($B143,'Institution Evaluation'!$A$55:$F$345,3,0),IFERROR(VLOOKUP($B143,'Privacy Analyst Evaluation'!$A$46:$F$120,3,0),""))&amp;""</f>
        <v/>
      </c>
      <c r="E143" s="205" t="str">
        <f>IFERROR(VLOOKUP($B143,'Institution Evaluation'!$A$55:$F$345,4,0),IFERROR(VLOOKUP($B143,'Privacy Analyst Evaluation'!$A$46:$F$120,4,0),""))&amp;""</f>
        <v/>
      </c>
      <c r="F143" s="205" t="str">
        <f>IFERROR(VLOOKUP($B143,'Institution Evaluation'!$A$55:$F$345,6,0),IFERROR(VLOOKUP($B143,'Privacy Analyst Evaluation'!$A$46:$F$120,6,0),""))&amp;""</f>
        <v/>
      </c>
      <c r="G143" s="206"/>
      <c r="H143" s="205" t="str">
        <f>IFERROR(IF($H142+1&gt;'(backend scoring)'!$Q$335,"",$H142+1),"")</f>
        <v/>
      </c>
      <c r="I143" s="205" t="str">
        <f>_xlfn.XLOOKUP($H143,'(backend scoring)'!$S$2:$S$333,'(backend scoring)'!$A$2:$A$333,"")</f>
        <v/>
      </c>
      <c r="J143" s="205" t="str">
        <f>IFERROR(VLOOKUP($I143,'Institution Evaluation'!$A$55:$F$345,2,0),IFERROR(VLOOKUP($I143,'Privacy Analyst Evaluation'!$A$46:$F$120,2,0),""))</f>
        <v/>
      </c>
      <c r="K143" s="205" t="str">
        <f>IFERROR(VLOOKUP($I143,'Institution Evaluation'!$A$55:$F$345,3,0),IFERROR(VLOOKUP($I143,'Privacy Analyst Evaluation'!$A$46:$F$120,3,0),""))&amp;""</f>
        <v/>
      </c>
      <c r="L143" s="205" t="str">
        <f>IFERROR(VLOOKUP($I143,'Institution Evaluation'!$A$55:$F$345,4,0),IFERROR(VLOOKUP($I143,'Privacy Analyst Evaluation'!$A$46:$F$120,4,0),""))&amp;""</f>
        <v/>
      </c>
      <c r="M143" s="205" t="str">
        <f>IFERROR(VLOOKUP($I143,'Institution Evaluation'!$A$55:$F$345,6,0),IFERROR(VLOOKUP($I143,'Privacy Analyst Evaluation'!$A$46:$F$120,6,0),""))&amp;""</f>
        <v/>
      </c>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row>
    <row r="144" spans="1:338" x14ac:dyDescent="0.3">
      <c r="A144" s="205" t="str">
        <f>IFERROR(IF($A143+1&gt;'(backend scoring)'!$T$335,"",$A143+1),"")</f>
        <v/>
      </c>
      <c r="B144" s="205" t="str">
        <f>_xlfn.XLOOKUP($A144,'(backend scoring)'!$V$2:$V$333,'(backend scoring)'!$A$2:$A$333,"")</f>
        <v/>
      </c>
      <c r="C144" s="205" t="str">
        <f>IFERROR(VLOOKUP($B144,'Institution Evaluation'!$A$55:$F$345,2,0),IFERROR(VLOOKUP($B144,'Privacy Analyst Evaluation'!$A$46:$F$120,2,0),""))&amp;""</f>
        <v/>
      </c>
      <c r="D144" s="205" t="str">
        <f>IFERROR(VLOOKUP($B144,'Institution Evaluation'!$A$55:$F$345,3,0),IFERROR(VLOOKUP($B144,'Privacy Analyst Evaluation'!$A$46:$F$120,3,0),""))&amp;""</f>
        <v/>
      </c>
      <c r="E144" s="205" t="str">
        <f>IFERROR(VLOOKUP($B144,'Institution Evaluation'!$A$55:$F$345,4,0),IFERROR(VLOOKUP($B144,'Privacy Analyst Evaluation'!$A$46:$F$120,4,0),""))&amp;""</f>
        <v/>
      </c>
      <c r="F144" s="205" t="str">
        <f>IFERROR(VLOOKUP($B144,'Institution Evaluation'!$A$55:$F$345,6,0),IFERROR(VLOOKUP($B144,'Privacy Analyst Evaluation'!$A$46:$F$120,6,0),""))&amp;""</f>
        <v/>
      </c>
      <c r="G144" s="206"/>
      <c r="H144" s="205" t="str">
        <f>IFERROR(IF($H143+1&gt;'(backend scoring)'!$Q$335,"",$H143+1),"")</f>
        <v/>
      </c>
      <c r="I144" s="205" t="str">
        <f>_xlfn.XLOOKUP($H144,'(backend scoring)'!$S$2:$S$333,'(backend scoring)'!$A$2:$A$333,"")</f>
        <v/>
      </c>
      <c r="J144" s="205" t="str">
        <f>IFERROR(VLOOKUP($I144,'Institution Evaluation'!$A$55:$F$345,2,0),IFERROR(VLOOKUP($I144,'Privacy Analyst Evaluation'!$A$46:$F$120,2,0),""))</f>
        <v/>
      </c>
      <c r="K144" s="205" t="str">
        <f>IFERROR(VLOOKUP($I144,'Institution Evaluation'!$A$55:$F$345,3,0),IFERROR(VLOOKUP($I144,'Privacy Analyst Evaluation'!$A$46:$F$120,3,0),""))&amp;""</f>
        <v/>
      </c>
      <c r="L144" s="205" t="str">
        <f>IFERROR(VLOOKUP($I144,'Institution Evaluation'!$A$55:$F$345,4,0),IFERROR(VLOOKUP($I144,'Privacy Analyst Evaluation'!$A$46:$F$120,4,0),""))&amp;""</f>
        <v/>
      </c>
      <c r="M144" s="205" t="str">
        <f>IFERROR(VLOOKUP($I144,'Institution Evaluation'!$A$55:$F$345,6,0),IFERROR(VLOOKUP($I144,'Privacy Analyst Evaluation'!$A$46:$F$120,6,0),""))&amp;""</f>
        <v/>
      </c>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row>
    <row r="145" spans="1:338" x14ac:dyDescent="0.3">
      <c r="A145" s="205" t="str">
        <f>IFERROR(IF($A144+1&gt;'(backend scoring)'!$T$335,"",$A144+1),"")</f>
        <v/>
      </c>
      <c r="B145" s="205" t="str">
        <f>_xlfn.XLOOKUP($A145,'(backend scoring)'!$V$2:$V$333,'(backend scoring)'!$A$2:$A$333,"")</f>
        <v/>
      </c>
      <c r="C145" s="205" t="str">
        <f>IFERROR(VLOOKUP($B145,'Institution Evaluation'!$A$55:$F$345,2,0),IFERROR(VLOOKUP($B145,'Privacy Analyst Evaluation'!$A$46:$F$120,2,0),""))&amp;""</f>
        <v/>
      </c>
      <c r="D145" s="205" t="str">
        <f>IFERROR(VLOOKUP($B145,'Institution Evaluation'!$A$55:$F$345,3,0),IFERROR(VLOOKUP($B145,'Privacy Analyst Evaluation'!$A$46:$F$120,3,0),""))&amp;""</f>
        <v/>
      </c>
      <c r="E145" s="205" t="str">
        <f>IFERROR(VLOOKUP($B145,'Institution Evaluation'!$A$55:$F$345,4,0),IFERROR(VLOOKUP($B145,'Privacy Analyst Evaluation'!$A$46:$F$120,4,0),""))&amp;""</f>
        <v/>
      </c>
      <c r="F145" s="205" t="str">
        <f>IFERROR(VLOOKUP($B145,'Institution Evaluation'!$A$55:$F$345,6,0),IFERROR(VLOOKUP($B145,'Privacy Analyst Evaluation'!$A$46:$F$120,6,0),""))&amp;""</f>
        <v/>
      </c>
      <c r="G145" s="206"/>
      <c r="H145" s="205" t="str">
        <f>IFERROR(IF($H144+1&gt;'(backend scoring)'!$Q$335,"",$H144+1),"")</f>
        <v/>
      </c>
      <c r="I145" s="205" t="str">
        <f>_xlfn.XLOOKUP($H145,'(backend scoring)'!$S$2:$S$333,'(backend scoring)'!$A$2:$A$333,"")</f>
        <v/>
      </c>
      <c r="J145" s="205" t="str">
        <f>IFERROR(VLOOKUP($I145,'Institution Evaluation'!$A$55:$F$345,2,0),IFERROR(VLOOKUP($I145,'Privacy Analyst Evaluation'!$A$46:$F$120,2,0),""))</f>
        <v/>
      </c>
      <c r="K145" s="205" t="str">
        <f>IFERROR(VLOOKUP($I145,'Institution Evaluation'!$A$55:$F$345,3,0),IFERROR(VLOOKUP($I145,'Privacy Analyst Evaluation'!$A$46:$F$120,3,0),""))&amp;""</f>
        <v/>
      </c>
      <c r="L145" s="205" t="str">
        <f>IFERROR(VLOOKUP($I145,'Institution Evaluation'!$A$55:$F$345,4,0),IFERROR(VLOOKUP($I145,'Privacy Analyst Evaluation'!$A$46:$F$120,4,0),""))&amp;""</f>
        <v/>
      </c>
      <c r="M145" s="205" t="str">
        <f>IFERROR(VLOOKUP($I145,'Institution Evaluation'!$A$55:$F$345,6,0),IFERROR(VLOOKUP($I145,'Privacy Analyst Evaluation'!$A$46:$F$120,6,0),""))&amp;""</f>
        <v/>
      </c>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row>
    <row r="146" spans="1:338" x14ac:dyDescent="0.3">
      <c r="A146" s="205" t="str">
        <f>IFERROR(IF($A145+1&gt;'(backend scoring)'!$T$335,"",$A145+1),"")</f>
        <v/>
      </c>
      <c r="B146" s="205" t="str">
        <f>_xlfn.XLOOKUP($A146,'(backend scoring)'!$V$2:$V$333,'(backend scoring)'!$A$2:$A$333,"")</f>
        <v/>
      </c>
      <c r="C146" s="205" t="str">
        <f>IFERROR(VLOOKUP($B146,'Institution Evaluation'!$A$55:$F$345,2,0),IFERROR(VLOOKUP($B146,'Privacy Analyst Evaluation'!$A$46:$F$120,2,0),""))&amp;""</f>
        <v/>
      </c>
      <c r="D146" s="205" t="str">
        <f>IFERROR(VLOOKUP($B146,'Institution Evaluation'!$A$55:$F$345,3,0),IFERROR(VLOOKUP($B146,'Privacy Analyst Evaluation'!$A$46:$F$120,3,0),""))&amp;""</f>
        <v/>
      </c>
      <c r="E146" s="205" t="str">
        <f>IFERROR(VLOOKUP($B146,'Institution Evaluation'!$A$55:$F$345,4,0),IFERROR(VLOOKUP($B146,'Privacy Analyst Evaluation'!$A$46:$F$120,4,0),""))&amp;""</f>
        <v/>
      </c>
      <c r="F146" s="205" t="str">
        <f>IFERROR(VLOOKUP($B146,'Institution Evaluation'!$A$55:$F$345,6,0),IFERROR(VLOOKUP($B146,'Privacy Analyst Evaluation'!$A$46:$F$120,6,0),""))&amp;""</f>
        <v/>
      </c>
      <c r="G146" s="206"/>
      <c r="H146" s="205" t="str">
        <f>IFERROR(IF($H145+1&gt;'(backend scoring)'!$Q$335,"",$H145+1),"")</f>
        <v/>
      </c>
      <c r="I146" s="205" t="str">
        <f>_xlfn.XLOOKUP($H146,'(backend scoring)'!$S$2:$S$333,'(backend scoring)'!$A$2:$A$333,"")</f>
        <v/>
      </c>
      <c r="J146" s="205" t="str">
        <f>IFERROR(VLOOKUP($I146,'Institution Evaluation'!$A$55:$F$345,2,0),IFERROR(VLOOKUP($I146,'Privacy Analyst Evaluation'!$A$46:$F$120,2,0),""))</f>
        <v/>
      </c>
      <c r="K146" s="205" t="str">
        <f>IFERROR(VLOOKUP($I146,'Institution Evaluation'!$A$55:$F$345,3,0),IFERROR(VLOOKUP($I146,'Privacy Analyst Evaluation'!$A$46:$F$120,3,0),""))&amp;""</f>
        <v/>
      </c>
      <c r="L146" s="205" t="str">
        <f>IFERROR(VLOOKUP($I146,'Institution Evaluation'!$A$55:$F$345,4,0),IFERROR(VLOOKUP($I146,'Privacy Analyst Evaluation'!$A$46:$F$120,4,0),""))&amp;""</f>
        <v/>
      </c>
      <c r="M146" s="205" t="str">
        <f>IFERROR(VLOOKUP($I146,'Institution Evaluation'!$A$55:$F$345,6,0),IFERROR(VLOOKUP($I146,'Privacy Analyst Evaluation'!$A$46:$F$120,6,0),""))&amp;""</f>
        <v/>
      </c>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row>
    <row r="147" spans="1:338" x14ac:dyDescent="0.3">
      <c r="A147" s="205" t="str">
        <f>IFERROR(IF($A146+1&gt;'(backend scoring)'!$T$335,"",$A146+1),"")</f>
        <v/>
      </c>
      <c r="B147" s="205" t="str">
        <f>_xlfn.XLOOKUP($A147,'(backend scoring)'!$V$2:$V$333,'(backend scoring)'!$A$2:$A$333,"")</f>
        <v/>
      </c>
      <c r="C147" s="205" t="str">
        <f>IFERROR(VLOOKUP($B147,'Institution Evaluation'!$A$55:$F$345,2,0),IFERROR(VLOOKUP($B147,'Privacy Analyst Evaluation'!$A$46:$F$120,2,0),""))&amp;""</f>
        <v/>
      </c>
      <c r="D147" s="205" t="str">
        <f>IFERROR(VLOOKUP($B147,'Institution Evaluation'!$A$55:$F$345,3,0),IFERROR(VLOOKUP($B147,'Privacy Analyst Evaluation'!$A$46:$F$120,3,0),""))&amp;""</f>
        <v/>
      </c>
      <c r="E147" s="205" t="str">
        <f>IFERROR(VLOOKUP($B147,'Institution Evaluation'!$A$55:$F$345,4,0),IFERROR(VLOOKUP($B147,'Privacy Analyst Evaluation'!$A$46:$F$120,4,0),""))&amp;""</f>
        <v/>
      </c>
      <c r="F147" s="205" t="str">
        <f>IFERROR(VLOOKUP($B147,'Institution Evaluation'!$A$55:$F$345,6,0),IFERROR(VLOOKUP($B147,'Privacy Analyst Evaluation'!$A$46:$F$120,6,0),""))&amp;""</f>
        <v/>
      </c>
      <c r="G147" s="206"/>
      <c r="H147" s="205" t="str">
        <f>IFERROR(IF($H146+1&gt;'(backend scoring)'!$Q$335,"",$H146+1),"")</f>
        <v/>
      </c>
      <c r="I147" s="205" t="str">
        <f>_xlfn.XLOOKUP($H147,'(backend scoring)'!$S$2:$S$333,'(backend scoring)'!$A$2:$A$333,"")</f>
        <v/>
      </c>
      <c r="J147" s="205" t="str">
        <f>IFERROR(VLOOKUP($I147,'Institution Evaluation'!$A$55:$F$345,2,0),IFERROR(VLOOKUP($I147,'Privacy Analyst Evaluation'!$A$46:$F$120,2,0),""))</f>
        <v/>
      </c>
      <c r="K147" s="205" t="str">
        <f>IFERROR(VLOOKUP($I147,'Institution Evaluation'!$A$55:$F$345,3,0),IFERROR(VLOOKUP($I147,'Privacy Analyst Evaluation'!$A$46:$F$120,3,0),""))&amp;""</f>
        <v/>
      </c>
      <c r="L147" s="205" t="str">
        <f>IFERROR(VLOOKUP($I147,'Institution Evaluation'!$A$55:$F$345,4,0),IFERROR(VLOOKUP($I147,'Privacy Analyst Evaluation'!$A$46:$F$120,4,0),""))&amp;""</f>
        <v/>
      </c>
      <c r="M147" s="205" t="str">
        <f>IFERROR(VLOOKUP($I147,'Institution Evaluation'!$A$55:$F$345,6,0),IFERROR(VLOOKUP($I147,'Privacy Analyst Evaluation'!$A$46:$F$120,6,0),""))&amp;""</f>
        <v/>
      </c>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row>
    <row r="148" spans="1:338" x14ac:dyDescent="0.3">
      <c r="A148" s="205" t="str">
        <f>IFERROR(IF($A147+1&gt;'(backend scoring)'!$T$335,"",$A147+1),"")</f>
        <v/>
      </c>
      <c r="B148" s="205" t="str">
        <f>_xlfn.XLOOKUP($A148,'(backend scoring)'!$V$2:$V$333,'(backend scoring)'!$A$2:$A$333,"")</f>
        <v/>
      </c>
      <c r="C148" s="205" t="str">
        <f>IFERROR(VLOOKUP($B148,'Institution Evaluation'!$A$55:$F$345,2,0),IFERROR(VLOOKUP($B148,'Privacy Analyst Evaluation'!$A$46:$F$120,2,0),""))&amp;""</f>
        <v/>
      </c>
      <c r="D148" s="205" t="str">
        <f>IFERROR(VLOOKUP($B148,'Institution Evaluation'!$A$55:$F$345,3,0),IFERROR(VLOOKUP($B148,'Privacy Analyst Evaluation'!$A$46:$F$120,3,0),""))&amp;""</f>
        <v/>
      </c>
      <c r="E148" s="205" t="str">
        <f>IFERROR(VLOOKUP($B148,'Institution Evaluation'!$A$55:$F$345,4,0),IFERROR(VLOOKUP($B148,'Privacy Analyst Evaluation'!$A$46:$F$120,4,0),""))&amp;""</f>
        <v/>
      </c>
      <c r="F148" s="205" t="str">
        <f>IFERROR(VLOOKUP($B148,'Institution Evaluation'!$A$55:$F$345,6,0),IFERROR(VLOOKUP($B148,'Privacy Analyst Evaluation'!$A$46:$F$120,6,0),""))&amp;""</f>
        <v/>
      </c>
      <c r="G148" s="206"/>
      <c r="H148" s="205" t="str">
        <f>IFERROR(IF($H147+1&gt;'(backend scoring)'!$Q$335,"",$H147+1),"")</f>
        <v/>
      </c>
      <c r="I148" s="205" t="str">
        <f>_xlfn.XLOOKUP($H148,'(backend scoring)'!$S$2:$S$333,'(backend scoring)'!$A$2:$A$333,"")</f>
        <v/>
      </c>
      <c r="J148" s="205" t="str">
        <f>IFERROR(VLOOKUP($I148,'Institution Evaluation'!$A$55:$F$345,2,0),IFERROR(VLOOKUP($I148,'Privacy Analyst Evaluation'!$A$46:$F$120,2,0),""))</f>
        <v/>
      </c>
      <c r="K148" s="205" t="str">
        <f>IFERROR(VLOOKUP($I148,'Institution Evaluation'!$A$55:$F$345,3,0),IFERROR(VLOOKUP($I148,'Privacy Analyst Evaluation'!$A$46:$F$120,3,0),""))&amp;""</f>
        <v/>
      </c>
      <c r="L148" s="205" t="str">
        <f>IFERROR(VLOOKUP($I148,'Institution Evaluation'!$A$55:$F$345,4,0),IFERROR(VLOOKUP($I148,'Privacy Analyst Evaluation'!$A$46:$F$120,4,0),""))&amp;""</f>
        <v/>
      </c>
      <c r="M148" s="205" t="str">
        <f>IFERROR(VLOOKUP($I148,'Institution Evaluation'!$A$55:$F$345,6,0),IFERROR(VLOOKUP($I148,'Privacy Analyst Evaluation'!$A$46:$F$120,6,0),""))&amp;""</f>
        <v/>
      </c>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row>
    <row r="149" spans="1:338" x14ac:dyDescent="0.3">
      <c r="A149" s="205" t="str">
        <f>IFERROR(IF($A148+1&gt;'(backend scoring)'!$T$335,"",$A148+1),"")</f>
        <v/>
      </c>
      <c r="B149" s="205" t="str">
        <f>_xlfn.XLOOKUP($A149,'(backend scoring)'!$V$2:$V$333,'(backend scoring)'!$A$2:$A$333,"")</f>
        <v/>
      </c>
      <c r="C149" s="205" t="str">
        <f>IFERROR(VLOOKUP($B149,'Institution Evaluation'!$A$55:$F$345,2,0),IFERROR(VLOOKUP($B149,'Privacy Analyst Evaluation'!$A$46:$F$120,2,0),""))&amp;""</f>
        <v/>
      </c>
      <c r="D149" s="205" t="str">
        <f>IFERROR(VLOOKUP($B149,'Institution Evaluation'!$A$55:$F$345,3,0),IFERROR(VLOOKUP($B149,'Privacy Analyst Evaluation'!$A$46:$F$120,3,0),""))&amp;""</f>
        <v/>
      </c>
      <c r="E149" s="205" t="str">
        <f>IFERROR(VLOOKUP($B149,'Institution Evaluation'!$A$55:$F$345,4,0),IFERROR(VLOOKUP($B149,'Privacy Analyst Evaluation'!$A$46:$F$120,4,0),""))&amp;""</f>
        <v/>
      </c>
      <c r="F149" s="205" t="str">
        <f>IFERROR(VLOOKUP($B149,'Institution Evaluation'!$A$55:$F$345,6,0),IFERROR(VLOOKUP($B149,'Privacy Analyst Evaluation'!$A$46:$F$120,6,0),""))&amp;""</f>
        <v/>
      </c>
      <c r="G149" s="206"/>
      <c r="H149" s="205" t="str">
        <f>IFERROR(IF($H148+1&gt;'(backend scoring)'!$Q$335,"",$H148+1),"")</f>
        <v/>
      </c>
      <c r="I149" s="205" t="str">
        <f>_xlfn.XLOOKUP($H149,'(backend scoring)'!$S$2:$S$333,'(backend scoring)'!$A$2:$A$333,"")</f>
        <v/>
      </c>
      <c r="J149" s="205" t="str">
        <f>IFERROR(VLOOKUP($I149,'Institution Evaluation'!$A$55:$F$345,2,0),IFERROR(VLOOKUP($I149,'Privacy Analyst Evaluation'!$A$46:$F$120,2,0),""))</f>
        <v/>
      </c>
      <c r="K149" s="205" t="str">
        <f>IFERROR(VLOOKUP($I149,'Institution Evaluation'!$A$55:$F$345,3,0),IFERROR(VLOOKUP($I149,'Privacy Analyst Evaluation'!$A$46:$F$120,3,0),""))&amp;""</f>
        <v/>
      </c>
      <c r="L149" s="205" t="str">
        <f>IFERROR(VLOOKUP($I149,'Institution Evaluation'!$A$55:$F$345,4,0),IFERROR(VLOOKUP($I149,'Privacy Analyst Evaluation'!$A$46:$F$120,4,0),""))&amp;""</f>
        <v/>
      </c>
      <c r="M149" s="205" t="str">
        <f>IFERROR(VLOOKUP($I149,'Institution Evaluation'!$A$55:$F$345,6,0),IFERROR(VLOOKUP($I149,'Privacy Analyst Evaluation'!$A$46:$F$120,6,0),""))&amp;""</f>
        <v/>
      </c>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row>
    <row r="150" spans="1:338" x14ac:dyDescent="0.3">
      <c r="A150" s="205" t="str">
        <f>IFERROR(IF($A149+1&gt;'(backend scoring)'!$T$335,"",$A149+1),"")</f>
        <v/>
      </c>
      <c r="B150" s="205" t="str">
        <f>_xlfn.XLOOKUP($A150,'(backend scoring)'!$V$2:$V$333,'(backend scoring)'!$A$2:$A$333,"")</f>
        <v/>
      </c>
      <c r="C150" s="205" t="str">
        <f>IFERROR(VLOOKUP($B150,'Institution Evaluation'!$A$55:$F$345,2,0),IFERROR(VLOOKUP($B150,'Privacy Analyst Evaluation'!$A$46:$F$120,2,0),""))&amp;""</f>
        <v/>
      </c>
      <c r="D150" s="205" t="str">
        <f>IFERROR(VLOOKUP($B150,'Institution Evaluation'!$A$55:$F$345,3,0),IFERROR(VLOOKUP($B150,'Privacy Analyst Evaluation'!$A$46:$F$120,3,0),""))&amp;""</f>
        <v/>
      </c>
      <c r="E150" s="205" t="str">
        <f>IFERROR(VLOOKUP($B150,'Institution Evaluation'!$A$55:$F$345,4,0),IFERROR(VLOOKUP($B150,'Privacy Analyst Evaluation'!$A$46:$F$120,4,0),""))&amp;""</f>
        <v/>
      </c>
      <c r="F150" s="205" t="str">
        <f>IFERROR(VLOOKUP($B150,'Institution Evaluation'!$A$55:$F$345,6,0),IFERROR(VLOOKUP($B150,'Privacy Analyst Evaluation'!$A$46:$F$120,6,0),""))&amp;""</f>
        <v/>
      </c>
      <c r="G150" s="206"/>
      <c r="H150" s="205" t="str">
        <f>IFERROR(IF($H149+1&gt;'(backend scoring)'!$Q$335,"",$H149+1),"")</f>
        <v/>
      </c>
      <c r="I150" s="205" t="str">
        <f>_xlfn.XLOOKUP($H150,'(backend scoring)'!$S$2:$S$333,'(backend scoring)'!$A$2:$A$333,"")</f>
        <v/>
      </c>
      <c r="J150" s="205" t="str">
        <f>IFERROR(VLOOKUP($I150,'Institution Evaluation'!$A$55:$F$345,2,0),IFERROR(VLOOKUP($I150,'Privacy Analyst Evaluation'!$A$46:$F$120,2,0),""))</f>
        <v/>
      </c>
      <c r="K150" s="205" t="str">
        <f>IFERROR(VLOOKUP($I150,'Institution Evaluation'!$A$55:$F$345,3,0),IFERROR(VLOOKUP($I150,'Privacy Analyst Evaluation'!$A$46:$F$120,3,0),""))&amp;""</f>
        <v/>
      </c>
      <c r="L150" s="205" t="str">
        <f>IFERROR(VLOOKUP($I150,'Institution Evaluation'!$A$55:$F$345,4,0),IFERROR(VLOOKUP($I150,'Privacy Analyst Evaluation'!$A$46:$F$120,4,0),""))&amp;""</f>
        <v/>
      </c>
      <c r="M150" s="205" t="str">
        <f>IFERROR(VLOOKUP($I150,'Institution Evaluation'!$A$55:$F$345,6,0),IFERROR(VLOOKUP($I150,'Privacy Analyst Evaluation'!$A$46:$F$120,6,0),""))&amp;""</f>
        <v/>
      </c>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row>
    <row r="151" spans="1:338" x14ac:dyDescent="0.3">
      <c r="A151" s="205" t="str">
        <f>IFERROR(IF($A150+1&gt;'(backend scoring)'!$T$335,"",$A150+1),"")</f>
        <v/>
      </c>
      <c r="B151" s="205" t="str">
        <f>_xlfn.XLOOKUP($A151,'(backend scoring)'!$V$2:$V$333,'(backend scoring)'!$A$2:$A$333,"")</f>
        <v/>
      </c>
      <c r="C151" s="205" t="str">
        <f>IFERROR(VLOOKUP($B151,'Institution Evaluation'!$A$55:$F$345,2,0),IFERROR(VLOOKUP($B151,'Privacy Analyst Evaluation'!$A$46:$F$120,2,0),""))&amp;""</f>
        <v/>
      </c>
      <c r="D151" s="205" t="str">
        <f>IFERROR(VLOOKUP($B151,'Institution Evaluation'!$A$55:$F$345,3,0),IFERROR(VLOOKUP($B151,'Privacy Analyst Evaluation'!$A$46:$F$120,3,0),""))&amp;""</f>
        <v/>
      </c>
      <c r="E151" s="205" t="str">
        <f>IFERROR(VLOOKUP($B151,'Institution Evaluation'!$A$55:$F$345,4,0),IFERROR(VLOOKUP($B151,'Privacy Analyst Evaluation'!$A$46:$F$120,4,0),""))&amp;""</f>
        <v/>
      </c>
      <c r="F151" s="205" t="str">
        <f>IFERROR(VLOOKUP($B151,'Institution Evaluation'!$A$55:$F$345,6,0),IFERROR(VLOOKUP($B151,'Privacy Analyst Evaluation'!$A$46:$F$120,6,0),""))&amp;""</f>
        <v/>
      </c>
      <c r="G151" s="206"/>
      <c r="H151" s="205" t="str">
        <f>IFERROR(IF($H150+1&gt;'(backend scoring)'!$Q$335,"",$H150+1),"")</f>
        <v/>
      </c>
      <c r="I151" s="205" t="str">
        <f>_xlfn.XLOOKUP($H151,'(backend scoring)'!$S$2:$S$333,'(backend scoring)'!$A$2:$A$333,"")</f>
        <v/>
      </c>
      <c r="J151" s="205" t="str">
        <f>IFERROR(VLOOKUP($I151,'Institution Evaluation'!$A$55:$F$345,2,0),IFERROR(VLOOKUP($I151,'Privacy Analyst Evaluation'!$A$46:$F$120,2,0),""))</f>
        <v/>
      </c>
      <c r="K151" s="205" t="str">
        <f>IFERROR(VLOOKUP($I151,'Institution Evaluation'!$A$55:$F$345,3,0),IFERROR(VLOOKUP($I151,'Privacy Analyst Evaluation'!$A$46:$F$120,3,0),""))&amp;""</f>
        <v/>
      </c>
      <c r="L151" s="205" t="str">
        <f>IFERROR(VLOOKUP($I151,'Institution Evaluation'!$A$55:$F$345,4,0),IFERROR(VLOOKUP($I151,'Privacy Analyst Evaluation'!$A$46:$F$120,4,0),""))&amp;""</f>
        <v/>
      </c>
      <c r="M151" s="205" t="str">
        <f>IFERROR(VLOOKUP($I151,'Institution Evaluation'!$A$55:$F$345,6,0),IFERROR(VLOOKUP($I151,'Privacy Analyst Evaluation'!$A$46:$F$120,6,0),""))&amp;""</f>
        <v/>
      </c>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row>
    <row r="152" spans="1:338" x14ac:dyDescent="0.3">
      <c r="A152" s="205" t="str">
        <f>IFERROR(IF($A151+1&gt;'(backend scoring)'!$T$335,"",$A151+1),"")</f>
        <v/>
      </c>
      <c r="B152" s="205" t="str">
        <f>_xlfn.XLOOKUP($A152,'(backend scoring)'!$V$2:$V$333,'(backend scoring)'!$A$2:$A$333,"")</f>
        <v/>
      </c>
      <c r="C152" s="205" t="str">
        <f>IFERROR(VLOOKUP($B152,'Institution Evaluation'!$A$55:$F$345,2,0),IFERROR(VLOOKUP($B152,'Privacy Analyst Evaluation'!$A$46:$F$120,2,0),""))&amp;""</f>
        <v/>
      </c>
      <c r="D152" s="205" t="str">
        <f>IFERROR(VLOOKUP($B152,'Institution Evaluation'!$A$55:$F$345,3,0),IFERROR(VLOOKUP($B152,'Privacy Analyst Evaluation'!$A$46:$F$120,3,0),""))&amp;""</f>
        <v/>
      </c>
      <c r="E152" s="205" t="str">
        <f>IFERROR(VLOOKUP($B152,'Institution Evaluation'!$A$55:$F$345,4,0),IFERROR(VLOOKUP($B152,'Privacy Analyst Evaluation'!$A$46:$F$120,4,0),""))&amp;""</f>
        <v/>
      </c>
      <c r="F152" s="205" t="str">
        <f>IFERROR(VLOOKUP($B152,'Institution Evaluation'!$A$55:$F$345,6,0),IFERROR(VLOOKUP($B152,'Privacy Analyst Evaluation'!$A$46:$F$120,6,0),""))&amp;""</f>
        <v/>
      </c>
      <c r="G152" s="206"/>
      <c r="H152" s="205" t="str">
        <f>IFERROR(IF($H151+1&gt;'(backend scoring)'!$Q$335,"",$H151+1),"")</f>
        <v/>
      </c>
      <c r="I152" s="205" t="str">
        <f>_xlfn.XLOOKUP($H152,'(backend scoring)'!$S$2:$S$333,'(backend scoring)'!$A$2:$A$333,"")</f>
        <v/>
      </c>
      <c r="J152" s="205" t="str">
        <f>IFERROR(VLOOKUP($I152,'Institution Evaluation'!$A$55:$F$345,2,0),IFERROR(VLOOKUP($I152,'Privacy Analyst Evaluation'!$A$46:$F$120,2,0),""))</f>
        <v/>
      </c>
      <c r="K152" s="205" t="str">
        <f>IFERROR(VLOOKUP($I152,'Institution Evaluation'!$A$55:$F$345,3,0),IFERROR(VLOOKUP($I152,'Privacy Analyst Evaluation'!$A$46:$F$120,3,0),""))&amp;""</f>
        <v/>
      </c>
      <c r="L152" s="205" t="str">
        <f>IFERROR(VLOOKUP($I152,'Institution Evaluation'!$A$55:$F$345,4,0),IFERROR(VLOOKUP($I152,'Privacy Analyst Evaluation'!$A$46:$F$120,4,0),""))&amp;""</f>
        <v/>
      </c>
      <c r="M152" s="205" t="str">
        <f>IFERROR(VLOOKUP($I152,'Institution Evaluation'!$A$55:$F$345,6,0),IFERROR(VLOOKUP($I152,'Privacy Analyst Evaluation'!$A$46:$F$120,6,0),""))&amp;""</f>
        <v/>
      </c>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row>
    <row r="153" spans="1:338" x14ac:dyDescent="0.3">
      <c r="A153" s="205" t="str">
        <f>IFERROR(IF($A152+1&gt;'(backend scoring)'!$T$335,"",$A152+1),"")</f>
        <v/>
      </c>
      <c r="B153" s="205" t="str">
        <f>_xlfn.XLOOKUP($A153,'(backend scoring)'!$V$2:$V$333,'(backend scoring)'!$A$2:$A$333,"")</f>
        <v/>
      </c>
      <c r="C153" s="205" t="str">
        <f>IFERROR(VLOOKUP($B153,'Institution Evaluation'!$A$55:$F$345,2,0),IFERROR(VLOOKUP($B153,'Privacy Analyst Evaluation'!$A$46:$F$120,2,0),""))&amp;""</f>
        <v/>
      </c>
      <c r="D153" s="205" t="str">
        <f>IFERROR(VLOOKUP($B153,'Institution Evaluation'!$A$55:$F$345,3,0),IFERROR(VLOOKUP($B153,'Privacy Analyst Evaluation'!$A$46:$F$120,3,0),""))&amp;""</f>
        <v/>
      </c>
      <c r="E153" s="205" t="str">
        <f>IFERROR(VLOOKUP($B153,'Institution Evaluation'!$A$55:$F$345,4,0),IFERROR(VLOOKUP($B153,'Privacy Analyst Evaluation'!$A$46:$F$120,4,0),""))&amp;""</f>
        <v/>
      </c>
      <c r="F153" s="205" t="str">
        <f>IFERROR(VLOOKUP($B153,'Institution Evaluation'!$A$55:$F$345,6,0),IFERROR(VLOOKUP($B153,'Privacy Analyst Evaluation'!$A$46:$F$120,6,0),""))&amp;""</f>
        <v/>
      </c>
      <c r="G153" s="206"/>
      <c r="H153" s="205" t="str">
        <f>IFERROR(IF($H152+1&gt;'(backend scoring)'!$Q$335,"",$H152+1),"")</f>
        <v/>
      </c>
      <c r="I153" s="205" t="str">
        <f>_xlfn.XLOOKUP($H153,'(backend scoring)'!$S$2:$S$333,'(backend scoring)'!$A$2:$A$333,"")</f>
        <v/>
      </c>
      <c r="J153" s="205" t="str">
        <f>IFERROR(VLOOKUP($I153,'Institution Evaluation'!$A$55:$F$345,2,0),IFERROR(VLOOKUP($I153,'Privacy Analyst Evaluation'!$A$46:$F$120,2,0),""))</f>
        <v/>
      </c>
      <c r="K153" s="205" t="str">
        <f>IFERROR(VLOOKUP($I153,'Institution Evaluation'!$A$55:$F$345,3,0),IFERROR(VLOOKUP($I153,'Privacy Analyst Evaluation'!$A$46:$F$120,3,0),""))&amp;""</f>
        <v/>
      </c>
      <c r="L153" s="205" t="str">
        <f>IFERROR(VLOOKUP($I153,'Institution Evaluation'!$A$55:$F$345,4,0),IFERROR(VLOOKUP($I153,'Privacy Analyst Evaluation'!$A$46:$F$120,4,0),""))&amp;""</f>
        <v/>
      </c>
      <c r="M153" s="205" t="str">
        <f>IFERROR(VLOOKUP($I153,'Institution Evaluation'!$A$55:$F$345,6,0),IFERROR(VLOOKUP($I153,'Privacy Analyst Evaluation'!$A$46:$F$120,6,0),""))&amp;""</f>
        <v/>
      </c>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row>
    <row r="154" spans="1:338" x14ac:dyDescent="0.3">
      <c r="A154" s="205" t="str">
        <f>IFERROR(IF($A153+1&gt;'(backend scoring)'!$T$335,"",$A153+1),"")</f>
        <v/>
      </c>
      <c r="B154" s="205" t="str">
        <f>_xlfn.XLOOKUP($A154,'(backend scoring)'!$V$2:$V$333,'(backend scoring)'!$A$2:$A$333,"")</f>
        <v/>
      </c>
      <c r="C154" s="205" t="str">
        <f>IFERROR(VLOOKUP($B154,'Institution Evaluation'!$A$55:$F$345,2,0),IFERROR(VLOOKUP($B154,'Privacy Analyst Evaluation'!$A$46:$F$120,2,0),""))&amp;""</f>
        <v/>
      </c>
      <c r="D154" s="205" t="str">
        <f>IFERROR(VLOOKUP($B154,'Institution Evaluation'!$A$55:$F$345,3,0),IFERROR(VLOOKUP($B154,'Privacy Analyst Evaluation'!$A$46:$F$120,3,0),""))&amp;""</f>
        <v/>
      </c>
      <c r="E154" s="205" t="str">
        <f>IFERROR(VLOOKUP($B154,'Institution Evaluation'!$A$55:$F$345,4,0),IFERROR(VLOOKUP($B154,'Privacy Analyst Evaluation'!$A$46:$F$120,4,0),""))&amp;""</f>
        <v/>
      </c>
      <c r="F154" s="205" t="str">
        <f>IFERROR(VLOOKUP($B154,'Institution Evaluation'!$A$55:$F$345,6,0),IFERROR(VLOOKUP($B154,'Privacy Analyst Evaluation'!$A$46:$F$120,6,0),""))&amp;""</f>
        <v/>
      </c>
      <c r="G154" s="206"/>
      <c r="H154" s="205" t="str">
        <f>IFERROR(IF($H153+1&gt;'(backend scoring)'!$Q$335,"",$H153+1),"")</f>
        <v/>
      </c>
      <c r="I154" s="205" t="str">
        <f>_xlfn.XLOOKUP($H154,'(backend scoring)'!$S$2:$S$333,'(backend scoring)'!$A$2:$A$333,"")</f>
        <v/>
      </c>
      <c r="J154" s="205" t="str">
        <f>IFERROR(VLOOKUP($I154,'Institution Evaluation'!$A$55:$F$345,2,0),IFERROR(VLOOKUP($I154,'Privacy Analyst Evaluation'!$A$46:$F$120,2,0),""))</f>
        <v/>
      </c>
      <c r="K154" s="205" t="str">
        <f>IFERROR(VLOOKUP($I154,'Institution Evaluation'!$A$55:$F$345,3,0),IFERROR(VLOOKUP($I154,'Privacy Analyst Evaluation'!$A$46:$F$120,3,0),""))&amp;""</f>
        <v/>
      </c>
      <c r="L154" s="205" t="str">
        <f>IFERROR(VLOOKUP($I154,'Institution Evaluation'!$A$55:$F$345,4,0),IFERROR(VLOOKUP($I154,'Privacy Analyst Evaluation'!$A$46:$F$120,4,0),""))&amp;""</f>
        <v/>
      </c>
      <c r="M154" s="205" t="str">
        <f>IFERROR(VLOOKUP($I154,'Institution Evaluation'!$A$55:$F$345,6,0),IFERROR(VLOOKUP($I154,'Privacy Analyst Evaluation'!$A$46:$F$120,6,0),""))&amp;""</f>
        <v/>
      </c>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row>
    <row r="155" spans="1:338" x14ac:dyDescent="0.3">
      <c r="A155" s="205" t="str">
        <f>IFERROR(IF($A154+1&gt;'(backend scoring)'!$T$335,"",$A154+1),"")</f>
        <v/>
      </c>
      <c r="B155" s="205" t="str">
        <f>_xlfn.XLOOKUP($A155,'(backend scoring)'!$V$2:$V$333,'(backend scoring)'!$A$2:$A$333,"")</f>
        <v/>
      </c>
      <c r="C155" s="205" t="str">
        <f>IFERROR(VLOOKUP($B155,'Institution Evaluation'!$A$55:$F$345,2,0),IFERROR(VLOOKUP($B155,'Privacy Analyst Evaluation'!$A$46:$F$120,2,0),""))&amp;""</f>
        <v/>
      </c>
      <c r="D155" s="205" t="str">
        <f>IFERROR(VLOOKUP($B155,'Institution Evaluation'!$A$55:$F$345,3,0),IFERROR(VLOOKUP($B155,'Privacy Analyst Evaluation'!$A$46:$F$120,3,0),""))&amp;""</f>
        <v/>
      </c>
      <c r="E155" s="205" t="str">
        <f>IFERROR(VLOOKUP($B155,'Institution Evaluation'!$A$55:$F$345,4,0),IFERROR(VLOOKUP($B155,'Privacy Analyst Evaluation'!$A$46:$F$120,4,0),""))&amp;""</f>
        <v/>
      </c>
      <c r="F155" s="205" t="str">
        <f>IFERROR(VLOOKUP($B155,'Institution Evaluation'!$A$55:$F$345,6,0),IFERROR(VLOOKUP($B155,'Privacy Analyst Evaluation'!$A$46:$F$120,6,0),""))&amp;""</f>
        <v/>
      </c>
      <c r="G155" s="206"/>
      <c r="H155" s="205" t="str">
        <f>IFERROR(IF($H154+1&gt;'(backend scoring)'!$Q$335,"",$H154+1),"")</f>
        <v/>
      </c>
      <c r="I155" s="205" t="str">
        <f>_xlfn.XLOOKUP($H155,'(backend scoring)'!$S$2:$S$333,'(backend scoring)'!$A$2:$A$333,"")</f>
        <v/>
      </c>
      <c r="J155" s="205" t="str">
        <f>IFERROR(VLOOKUP($I155,'Institution Evaluation'!$A$55:$F$345,2,0),IFERROR(VLOOKUP($I155,'Privacy Analyst Evaluation'!$A$46:$F$120,2,0),""))</f>
        <v/>
      </c>
      <c r="K155" s="205" t="str">
        <f>IFERROR(VLOOKUP($I155,'Institution Evaluation'!$A$55:$F$345,3,0),IFERROR(VLOOKUP($I155,'Privacy Analyst Evaluation'!$A$46:$F$120,3,0),""))&amp;""</f>
        <v/>
      </c>
      <c r="L155" s="205" t="str">
        <f>IFERROR(VLOOKUP($I155,'Institution Evaluation'!$A$55:$F$345,4,0),IFERROR(VLOOKUP($I155,'Privacy Analyst Evaluation'!$A$46:$F$120,4,0),""))&amp;""</f>
        <v/>
      </c>
      <c r="M155" s="205" t="str">
        <f>IFERROR(VLOOKUP($I155,'Institution Evaluation'!$A$55:$F$345,6,0),IFERROR(VLOOKUP($I155,'Privacy Analyst Evaluation'!$A$46:$F$120,6,0),""))&amp;""</f>
        <v/>
      </c>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row>
    <row r="156" spans="1:338" x14ac:dyDescent="0.3">
      <c r="A156" s="205" t="str">
        <f>IFERROR(IF($A155+1&gt;'(backend scoring)'!$T$335,"",$A155+1),"")</f>
        <v/>
      </c>
      <c r="B156" s="205" t="str">
        <f>_xlfn.XLOOKUP($A156,'(backend scoring)'!$V$2:$V$333,'(backend scoring)'!$A$2:$A$333,"")</f>
        <v/>
      </c>
      <c r="C156" s="205" t="str">
        <f>IFERROR(VLOOKUP($B156,'Institution Evaluation'!$A$55:$F$345,2,0),IFERROR(VLOOKUP($B156,'Privacy Analyst Evaluation'!$A$46:$F$120,2,0),""))&amp;""</f>
        <v/>
      </c>
      <c r="D156" s="205" t="str">
        <f>IFERROR(VLOOKUP($B156,'Institution Evaluation'!$A$55:$F$345,3,0),IFERROR(VLOOKUP($B156,'Privacy Analyst Evaluation'!$A$46:$F$120,3,0),""))&amp;""</f>
        <v/>
      </c>
      <c r="E156" s="205" t="str">
        <f>IFERROR(VLOOKUP($B156,'Institution Evaluation'!$A$55:$F$345,4,0),IFERROR(VLOOKUP($B156,'Privacy Analyst Evaluation'!$A$46:$F$120,4,0),""))&amp;""</f>
        <v/>
      </c>
      <c r="F156" s="205" t="str">
        <f>IFERROR(VLOOKUP($B156,'Institution Evaluation'!$A$55:$F$345,6,0),IFERROR(VLOOKUP($B156,'Privacy Analyst Evaluation'!$A$46:$F$120,6,0),""))&amp;""</f>
        <v/>
      </c>
      <c r="G156" s="206"/>
      <c r="H156" s="205" t="str">
        <f>IFERROR(IF($H155+1&gt;'(backend scoring)'!$Q$335,"",$H155+1),"")</f>
        <v/>
      </c>
      <c r="I156" s="205" t="str">
        <f>_xlfn.XLOOKUP($H156,'(backend scoring)'!$S$2:$S$333,'(backend scoring)'!$A$2:$A$333,"")</f>
        <v/>
      </c>
      <c r="J156" s="205" t="str">
        <f>IFERROR(VLOOKUP($I156,'Institution Evaluation'!$A$55:$F$345,2,0),IFERROR(VLOOKUP($I156,'Privacy Analyst Evaluation'!$A$46:$F$120,2,0),""))</f>
        <v/>
      </c>
      <c r="K156" s="205" t="str">
        <f>IFERROR(VLOOKUP($I156,'Institution Evaluation'!$A$55:$F$345,3,0),IFERROR(VLOOKUP($I156,'Privacy Analyst Evaluation'!$A$46:$F$120,3,0),""))&amp;""</f>
        <v/>
      </c>
      <c r="L156" s="205" t="str">
        <f>IFERROR(VLOOKUP($I156,'Institution Evaluation'!$A$55:$F$345,4,0),IFERROR(VLOOKUP($I156,'Privacy Analyst Evaluation'!$A$46:$F$120,4,0),""))&amp;""</f>
        <v/>
      </c>
      <c r="M156" s="205" t="str">
        <f>IFERROR(VLOOKUP($I156,'Institution Evaluation'!$A$55:$F$345,6,0),IFERROR(VLOOKUP($I156,'Privacy Analyst Evaluation'!$A$46:$F$120,6,0),""))&amp;""</f>
        <v/>
      </c>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row>
    <row r="157" spans="1:338" x14ac:dyDescent="0.3">
      <c r="A157" s="205" t="str">
        <f>IFERROR(IF($A156+1&gt;'(backend scoring)'!$T$335,"",$A156+1),"")</f>
        <v/>
      </c>
      <c r="B157" s="205" t="str">
        <f>_xlfn.XLOOKUP($A157,'(backend scoring)'!$V$2:$V$333,'(backend scoring)'!$A$2:$A$333,"")</f>
        <v/>
      </c>
      <c r="C157" s="205" t="str">
        <f>IFERROR(VLOOKUP($B157,'Institution Evaluation'!$A$55:$F$345,2,0),IFERROR(VLOOKUP($B157,'Privacy Analyst Evaluation'!$A$46:$F$120,2,0),""))&amp;""</f>
        <v/>
      </c>
      <c r="D157" s="205" t="str">
        <f>IFERROR(VLOOKUP($B157,'Institution Evaluation'!$A$55:$F$345,3,0),IFERROR(VLOOKUP($B157,'Privacy Analyst Evaluation'!$A$46:$F$120,3,0),""))&amp;""</f>
        <v/>
      </c>
      <c r="E157" s="205" t="str">
        <f>IFERROR(VLOOKUP($B157,'Institution Evaluation'!$A$55:$F$345,4,0),IFERROR(VLOOKUP($B157,'Privacy Analyst Evaluation'!$A$46:$F$120,4,0),""))&amp;""</f>
        <v/>
      </c>
      <c r="F157" s="205" t="str">
        <f>IFERROR(VLOOKUP($B157,'Institution Evaluation'!$A$55:$F$345,6,0),IFERROR(VLOOKUP($B157,'Privacy Analyst Evaluation'!$A$46:$F$120,6,0),""))&amp;""</f>
        <v/>
      </c>
      <c r="G157" s="206"/>
      <c r="H157" s="205" t="str">
        <f>IFERROR(IF($H156+1&gt;'(backend scoring)'!$Q$335,"",$H156+1),"")</f>
        <v/>
      </c>
      <c r="I157" s="205" t="str">
        <f>_xlfn.XLOOKUP($H157,'(backend scoring)'!$S$2:$S$333,'(backend scoring)'!$A$2:$A$333,"")</f>
        <v/>
      </c>
      <c r="J157" s="205" t="str">
        <f>IFERROR(VLOOKUP($I157,'Institution Evaluation'!$A$55:$F$345,2,0),IFERROR(VLOOKUP($I157,'Privacy Analyst Evaluation'!$A$46:$F$120,2,0),""))</f>
        <v/>
      </c>
      <c r="K157" s="205" t="str">
        <f>IFERROR(VLOOKUP($I157,'Institution Evaluation'!$A$55:$F$345,3,0),IFERROR(VLOOKUP($I157,'Privacy Analyst Evaluation'!$A$46:$F$120,3,0),""))&amp;""</f>
        <v/>
      </c>
      <c r="L157" s="205" t="str">
        <f>IFERROR(VLOOKUP($I157,'Institution Evaluation'!$A$55:$F$345,4,0),IFERROR(VLOOKUP($I157,'Privacy Analyst Evaluation'!$A$46:$F$120,4,0),""))&amp;""</f>
        <v/>
      </c>
      <c r="M157" s="205" t="str">
        <f>IFERROR(VLOOKUP($I157,'Institution Evaluation'!$A$55:$F$345,6,0),IFERROR(VLOOKUP($I157,'Privacy Analyst Evaluation'!$A$46:$F$120,6,0),""))&amp;""</f>
        <v/>
      </c>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row>
    <row r="158" spans="1:338" x14ac:dyDescent="0.3">
      <c r="A158" s="205" t="str">
        <f>IFERROR(IF($A157+1&gt;'(backend scoring)'!$T$335,"",$A157+1),"")</f>
        <v/>
      </c>
      <c r="B158" s="205" t="str">
        <f>_xlfn.XLOOKUP($A158,'(backend scoring)'!$V$2:$V$333,'(backend scoring)'!$A$2:$A$333,"")</f>
        <v/>
      </c>
      <c r="C158" s="205" t="str">
        <f>IFERROR(VLOOKUP($B158,'Institution Evaluation'!$A$55:$F$345,2,0),IFERROR(VLOOKUP($B158,'Privacy Analyst Evaluation'!$A$46:$F$120,2,0),""))&amp;""</f>
        <v/>
      </c>
      <c r="D158" s="205" t="str">
        <f>IFERROR(VLOOKUP($B158,'Institution Evaluation'!$A$55:$F$345,3,0),IFERROR(VLOOKUP($B158,'Privacy Analyst Evaluation'!$A$46:$F$120,3,0),""))&amp;""</f>
        <v/>
      </c>
      <c r="E158" s="205" t="str">
        <f>IFERROR(VLOOKUP($B158,'Institution Evaluation'!$A$55:$F$345,4,0),IFERROR(VLOOKUP($B158,'Privacy Analyst Evaluation'!$A$46:$F$120,4,0),""))&amp;""</f>
        <v/>
      </c>
      <c r="F158" s="205" t="str">
        <f>IFERROR(VLOOKUP($B158,'Institution Evaluation'!$A$55:$F$345,6,0),IFERROR(VLOOKUP($B158,'Privacy Analyst Evaluation'!$A$46:$F$120,6,0),""))&amp;""</f>
        <v/>
      </c>
      <c r="G158" s="206"/>
      <c r="H158" s="205" t="str">
        <f>IFERROR(IF($H157+1&gt;'(backend scoring)'!$Q$335,"",$H157+1),"")</f>
        <v/>
      </c>
      <c r="I158" s="205" t="str">
        <f>_xlfn.XLOOKUP($H158,'(backend scoring)'!$S$2:$S$333,'(backend scoring)'!$A$2:$A$333,"")</f>
        <v/>
      </c>
      <c r="J158" s="205" t="str">
        <f>IFERROR(VLOOKUP($I158,'Institution Evaluation'!$A$55:$F$345,2,0),IFERROR(VLOOKUP($I158,'Privacy Analyst Evaluation'!$A$46:$F$120,2,0),""))</f>
        <v/>
      </c>
      <c r="K158" s="205" t="str">
        <f>IFERROR(VLOOKUP($I158,'Institution Evaluation'!$A$55:$F$345,3,0),IFERROR(VLOOKUP($I158,'Privacy Analyst Evaluation'!$A$46:$F$120,3,0),""))&amp;""</f>
        <v/>
      </c>
      <c r="L158" s="205" t="str">
        <f>IFERROR(VLOOKUP($I158,'Institution Evaluation'!$A$55:$F$345,4,0),IFERROR(VLOOKUP($I158,'Privacy Analyst Evaluation'!$A$46:$F$120,4,0),""))&amp;""</f>
        <v/>
      </c>
      <c r="M158" s="205" t="str">
        <f>IFERROR(VLOOKUP($I158,'Institution Evaluation'!$A$55:$F$345,6,0),IFERROR(VLOOKUP($I158,'Privacy Analyst Evaluation'!$A$46:$F$120,6,0),""))&amp;""</f>
        <v/>
      </c>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row>
    <row r="159" spans="1:338" x14ac:dyDescent="0.3">
      <c r="A159" s="205" t="str">
        <f>IFERROR(IF($A158+1&gt;'(backend scoring)'!$T$335,"",$A158+1),"")</f>
        <v/>
      </c>
      <c r="B159" s="205" t="str">
        <f>_xlfn.XLOOKUP($A159,'(backend scoring)'!$V$2:$V$333,'(backend scoring)'!$A$2:$A$333,"")</f>
        <v/>
      </c>
      <c r="C159" s="205" t="str">
        <f>IFERROR(VLOOKUP($B159,'Institution Evaluation'!$A$55:$F$345,2,0),IFERROR(VLOOKUP($B159,'Privacy Analyst Evaluation'!$A$46:$F$120,2,0),""))&amp;""</f>
        <v/>
      </c>
      <c r="D159" s="205" t="str">
        <f>IFERROR(VLOOKUP($B159,'Institution Evaluation'!$A$55:$F$345,3,0),IFERROR(VLOOKUP($B159,'Privacy Analyst Evaluation'!$A$46:$F$120,3,0),""))&amp;""</f>
        <v/>
      </c>
      <c r="E159" s="205" t="str">
        <f>IFERROR(VLOOKUP($B159,'Institution Evaluation'!$A$55:$F$345,4,0),IFERROR(VLOOKUP($B159,'Privacy Analyst Evaluation'!$A$46:$F$120,4,0),""))&amp;""</f>
        <v/>
      </c>
      <c r="F159" s="205" t="str">
        <f>IFERROR(VLOOKUP($B159,'Institution Evaluation'!$A$55:$F$345,6,0),IFERROR(VLOOKUP($B159,'Privacy Analyst Evaluation'!$A$46:$F$120,6,0),""))&amp;""</f>
        <v/>
      </c>
      <c r="G159" s="206"/>
      <c r="H159" s="205" t="str">
        <f>IFERROR(IF($H158+1&gt;'(backend scoring)'!$Q$335,"",$H158+1),"")</f>
        <v/>
      </c>
      <c r="I159" s="205" t="str">
        <f>_xlfn.XLOOKUP($H159,'(backend scoring)'!$S$2:$S$333,'(backend scoring)'!$A$2:$A$333,"")</f>
        <v/>
      </c>
      <c r="J159" s="205" t="str">
        <f>IFERROR(VLOOKUP($I159,'Institution Evaluation'!$A$55:$F$345,2,0),IFERROR(VLOOKUP($I159,'Privacy Analyst Evaluation'!$A$46:$F$120,2,0),""))</f>
        <v/>
      </c>
      <c r="K159" s="205" t="str">
        <f>IFERROR(VLOOKUP($I159,'Institution Evaluation'!$A$55:$F$345,3,0),IFERROR(VLOOKUP($I159,'Privacy Analyst Evaluation'!$A$46:$F$120,3,0),""))&amp;""</f>
        <v/>
      </c>
      <c r="L159" s="205" t="str">
        <f>IFERROR(VLOOKUP($I159,'Institution Evaluation'!$A$55:$F$345,4,0),IFERROR(VLOOKUP($I159,'Privacy Analyst Evaluation'!$A$46:$F$120,4,0),""))&amp;""</f>
        <v/>
      </c>
      <c r="M159" s="205" t="str">
        <f>IFERROR(VLOOKUP($I159,'Institution Evaluation'!$A$55:$F$345,6,0),IFERROR(VLOOKUP($I159,'Privacy Analyst Evaluation'!$A$46:$F$120,6,0),""))&amp;""</f>
        <v/>
      </c>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row>
    <row r="160" spans="1:338" x14ac:dyDescent="0.3">
      <c r="A160" s="205" t="str">
        <f>IFERROR(IF($A159+1&gt;'(backend scoring)'!$T$335,"",$A159+1),"")</f>
        <v/>
      </c>
      <c r="B160" s="205" t="str">
        <f>_xlfn.XLOOKUP($A160,'(backend scoring)'!$V$2:$V$333,'(backend scoring)'!$A$2:$A$333,"")</f>
        <v/>
      </c>
      <c r="C160" s="205" t="str">
        <f>IFERROR(VLOOKUP($B160,'Institution Evaluation'!$A$55:$F$345,2,0),IFERROR(VLOOKUP($B160,'Privacy Analyst Evaluation'!$A$46:$F$120,2,0),""))&amp;""</f>
        <v/>
      </c>
      <c r="D160" s="205" t="str">
        <f>IFERROR(VLOOKUP($B160,'Institution Evaluation'!$A$55:$F$345,3,0),IFERROR(VLOOKUP($B160,'Privacy Analyst Evaluation'!$A$46:$F$120,3,0),""))&amp;""</f>
        <v/>
      </c>
      <c r="E160" s="205" t="str">
        <f>IFERROR(VLOOKUP($B160,'Institution Evaluation'!$A$55:$F$345,4,0),IFERROR(VLOOKUP($B160,'Privacy Analyst Evaluation'!$A$46:$F$120,4,0),""))&amp;""</f>
        <v/>
      </c>
      <c r="F160" s="205" t="str">
        <f>IFERROR(VLOOKUP($B160,'Institution Evaluation'!$A$55:$F$345,6,0),IFERROR(VLOOKUP($B160,'Privacy Analyst Evaluation'!$A$46:$F$120,6,0),""))&amp;""</f>
        <v/>
      </c>
      <c r="G160" s="206"/>
      <c r="H160" s="205" t="str">
        <f>IFERROR(IF($H159+1&gt;'(backend scoring)'!$Q$335,"",$H159+1),"")</f>
        <v/>
      </c>
      <c r="I160" s="205" t="str">
        <f>_xlfn.XLOOKUP($H160,'(backend scoring)'!$S$2:$S$333,'(backend scoring)'!$A$2:$A$333,"")</f>
        <v/>
      </c>
      <c r="J160" s="205" t="str">
        <f>IFERROR(VLOOKUP($I160,'Institution Evaluation'!$A$55:$F$345,2,0),IFERROR(VLOOKUP($I160,'Privacy Analyst Evaluation'!$A$46:$F$120,2,0),""))</f>
        <v/>
      </c>
      <c r="K160" s="205" t="str">
        <f>IFERROR(VLOOKUP($I160,'Institution Evaluation'!$A$55:$F$345,3,0),IFERROR(VLOOKUP($I160,'Privacy Analyst Evaluation'!$A$46:$F$120,3,0),""))&amp;""</f>
        <v/>
      </c>
      <c r="L160" s="205" t="str">
        <f>IFERROR(VLOOKUP($I160,'Institution Evaluation'!$A$55:$F$345,4,0),IFERROR(VLOOKUP($I160,'Privacy Analyst Evaluation'!$A$46:$F$120,4,0),""))&amp;""</f>
        <v/>
      </c>
      <c r="M160" s="205" t="str">
        <f>IFERROR(VLOOKUP($I160,'Institution Evaluation'!$A$55:$F$345,6,0),IFERROR(VLOOKUP($I160,'Privacy Analyst Evaluation'!$A$46:$F$120,6,0),""))&amp;""</f>
        <v/>
      </c>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row>
    <row r="161" spans="1:338" x14ac:dyDescent="0.3">
      <c r="A161" s="205" t="str">
        <f>IFERROR(IF($A160+1&gt;'(backend scoring)'!$T$335,"",$A160+1),"")</f>
        <v/>
      </c>
      <c r="B161" s="205" t="str">
        <f>_xlfn.XLOOKUP($A161,'(backend scoring)'!$V$2:$V$333,'(backend scoring)'!$A$2:$A$333,"")</f>
        <v/>
      </c>
      <c r="C161" s="205" t="str">
        <f>IFERROR(VLOOKUP($B161,'Institution Evaluation'!$A$55:$F$345,2,0),IFERROR(VLOOKUP($B161,'Privacy Analyst Evaluation'!$A$46:$F$120,2,0),""))&amp;""</f>
        <v/>
      </c>
      <c r="D161" s="205" t="str">
        <f>IFERROR(VLOOKUP($B161,'Institution Evaluation'!$A$55:$F$345,3,0),IFERROR(VLOOKUP($B161,'Privacy Analyst Evaluation'!$A$46:$F$120,3,0),""))&amp;""</f>
        <v/>
      </c>
      <c r="E161" s="205" t="str">
        <f>IFERROR(VLOOKUP($B161,'Institution Evaluation'!$A$55:$F$345,4,0),IFERROR(VLOOKUP($B161,'Privacy Analyst Evaluation'!$A$46:$F$120,4,0),""))&amp;""</f>
        <v/>
      </c>
      <c r="F161" s="205" t="str">
        <f>IFERROR(VLOOKUP($B161,'Institution Evaluation'!$A$55:$F$345,6,0),IFERROR(VLOOKUP($B161,'Privacy Analyst Evaluation'!$A$46:$F$120,6,0),""))&amp;""</f>
        <v/>
      </c>
      <c r="G161" s="206"/>
      <c r="H161" s="205" t="str">
        <f>IFERROR(IF($H160+1&gt;'(backend scoring)'!$Q$335,"",$H160+1),"")</f>
        <v/>
      </c>
      <c r="I161" s="205" t="str">
        <f>_xlfn.XLOOKUP($H161,'(backend scoring)'!$S$2:$S$333,'(backend scoring)'!$A$2:$A$333,"")</f>
        <v/>
      </c>
      <c r="J161" s="205" t="str">
        <f>IFERROR(VLOOKUP($I161,'Institution Evaluation'!$A$55:$F$345,2,0),IFERROR(VLOOKUP($I161,'Privacy Analyst Evaluation'!$A$46:$F$120,2,0),""))</f>
        <v/>
      </c>
      <c r="K161" s="205" t="str">
        <f>IFERROR(VLOOKUP($I161,'Institution Evaluation'!$A$55:$F$345,3,0),IFERROR(VLOOKUP($I161,'Privacy Analyst Evaluation'!$A$46:$F$120,3,0),""))&amp;""</f>
        <v/>
      </c>
      <c r="L161" s="205" t="str">
        <f>IFERROR(VLOOKUP($I161,'Institution Evaluation'!$A$55:$F$345,4,0),IFERROR(VLOOKUP($I161,'Privacy Analyst Evaluation'!$A$46:$F$120,4,0),""))&amp;""</f>
        <v/>
      </c>
      <c r="M161" s="205" t="str">
        <f>IFERROR(VLOOKUP($I161,'Institution Evaluation'!$A$55:$F$345,6,0),IFERROR(VLOOKUP($I161,'Privacy Analyst Evaluation'!$A$46:$F$120,6,0),""))&amp;""</f>
        <v/>
      </c>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row>
    <row r="162" spans="1:338" x14ac:dyDescent="0.3">
      <c r="A162" s="205" t="str">
        <f>IFERROR(IF($A161+1&gt;'(backend scoring)'!$T$335,"",$A161+1),"")</f>
        <v/>
      </c>
      <c r="B162" s="205" t="str">
        <f>_xlfn.XLOOKUP($A162,'(backend scoring)'!$V$2:$V$333,'(backend scoring)'!$A$2:$A$333,"")</f>
        <v/>
      </c>
      <c r="C162" s="205" t="str">
        <f>IFERROR(VLOOKUP($B162,'Institution Evaluation'!$A$55:$F$345,2,0),IFERROR(VLOOKUP($B162,'Privacy Analyst Evaluation'!$A$46:$F$120,2,0),""))&amp;""</f>
        <v/>
      </c>
      <c r="D162" s="205" t="str">
        <f>IFERROR(VLOOKUP($B162,'Institution Evaluation'!$A$55:$F$345,3,0),IFERROR(VLOOKUP($B162,'Privacy Analyst Evaluation'!$A$46:$F$120,3,0),""))&amp;""</f>
        <v/>
      </c>
      <c r="E162" s="205" t="str">
        <f>IFERROR(VLOOKUP($B162,'Institution Evaluation'!$A$55:$F$345,4,0),IFERROR(VLOOKUP($B162,'Privacy Analyst Evaluation'!$A$46:$F$120,4,0),""))&amp;""</f>
        <v/>
      </c>
      <c r="F162" s="205" t="str">
        <f>IFERROR(VLOOKUP($B162,'Institution Evaluation'!$A$55:$F$345,6,0),IFERROR(VLOOKUP($B162,'Privacy Analyst Evaluation'!$A$46:$F$120,6,0),""))&amp;""</f>
        <v/>
      </c>
      <c r="G162" s="206"/>
      <c r="H162" s="205" t="str">
        <f>IFERROR(IF($H161+1&gt;'(backend scoring)'!$Q$335,"",$H161+1),"")</f>
        <v/>
      </c>
      <c r="I162" s="205" t="str">
        <f>_xlfn.XLOOKUP($H162,'(backend scoring)'!$S$2:$S$333,'(backend scoring)'!$A$2:$A$333,"")</f>
        <v/>
      </c>
      <c r="J162" s="205" t="str">
        <f>IFERROR(VLOOKUP($I162,'Institution Evaluation'!$A$55:$F$345,2,0),IFERROR(VLOOKUP($I162,'Privacy Analyst Evaluation'!$A$46:$F$120,2,0),""))</f>
        <v/>
      </c>
      <c r="K162" s="205" t="str">
        <f>IFERROR(VLOOKUP($I162,'Institution Evaluation'!$A$55:$F$345,3,0),IFERROR(VLOOKUP($I162,'Privacy Analyst Evaluation'!$A$46:$F$120,3,0),""))&amp;""</f>
        <v/>
      </c>
      <c r="L162" s="205" t="str">
        <f>IFERROR(VLOOKUP($I162,'Institution Evaluation'!$A$55:$F$345,4,0),IFERROR(VLOOKUP($I162,'Privacy Analyst Evaluation'!$A$46:$F$120,4,0),""))&amp;""</f>
        <v/>
      </c>
      <c r="M162" s="205" t="str">
        <f>IFERROR(VLOOKUP($I162,'Institution Evaluation'!$A$55:$F$345,6,0),IFERROR(VLOOKUP($I162,'Privacy Analyst Evaluation'!$A$46:$F$120,6,0),""))&amp;""</f>
        <v/>
      </c>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row>
    <row r="163" spans="1:338" x14ac:dyDescent="0.3">
      <c r="A163" s="205" t="str">
        <f>IFERROR(IF($A162+1&gt;'(backend scoring)'!$T$335,"",$A162+1),"")</f>
        <v/>
      </c>
      <c r="B163" s="205" t="str">
        <f>_xlfn.XLOOKUP($A163,'(backend scoring)'!$V$2:$V$333,'(backend scoring)'!$A$2:$A$333,"")</f>
        <v/>
      </c>
      <c r="C163" s="205" t="str">
        <f>IFERROR(VLOOKUP($B163,'Institution Evaluation'!$A$55:$F$345,2,0),IFERROR(VLOOKUP($B163,'Privacy Analyst Evaluation'!$A$46:$F$120,2,0),""))&amp;""</f>
        <v/>
      </c>
      <c r="D163" s="205" t="str">
        <f>IFERROR(VLOOKUP($B163,'Institution Evaluation'!$A$55:$F$345,3,0),IFERROR(VLOOKUP($B163,'Privacy Analyst Evaluation'!$A$46:$F$120,3,0),""))&amp;""</f>
        <v/>
      </c>
      <c r="E163" s="205" t="str">
        <f>IFERROR(VLOOKUP($B163,'Institution Evaluation'!$A$55:$F$345,4,0),IFERROR(VLOOKUP($B163,'Privacy Analyst Evaluation'!$A$46:$F$120,4,0),""))&amp;""</f>
        <v/>
      </c>
      <c r="F163" s="205" t="str">
        <f>IFERROR(VLOOKUP($B163,'Institution Evaluation'!$A$55:$F$345,6,0),IFERROR(VLOOKUP($B163,'Privacy Analyst Evaluation'!$A$46:$F$120,6,0),""))&amp;""</f>
        <v/>
      </c>
      <c r="G163" s="206"/>
      <c r="H163" s="205" t="str">
        <f>IFERROR(IF($H162+1&gt;'(backend scoring)'!$Q$335,"",$H162+1),"")</f>
        <v/>
      </c>
      <c r="I163" s="205" t="str">
        <f>_xlfn.XLOOKUP($H163,'(backend scoring)'!$S$2:$S$333,'(backend scoring)'!$A$2:$A$333,"")</f>
        <v/>
      </c>
      <c r="J163" s="205" t="str">
        <f>IFERROR(VLOOKUP($I163,'Institution Evaluation'!$A$55:$F$345,2,0),IFERROR(VLOOKUP($I163,'Privacy Analyst Evaluation'!$A$46:$F$120,2,0),""))</f>
        <v/>
      </c>
      <c r="K163" s="205" t="str">
        <f>IFERROR(VLOOKUP($I163,'Institution Evaluation'!$A$55:$F$345,3,0),IFERROR(VLOOKUP($I163,'Privacy Analyst Evaluation'!$A$46:$F$120,3,0),""))&amp;""</f>
        <v/>
      </c>
      <c r="L163" s="205" t="str">
        <f>IFERROR(VLOOKUP($I163,'Institution Evaluation'!$A$55:$F$345,4,0),IFERROR(VLOOKUP($I163,'Privacy Analyst Evaluation'!$A$46:$F$120,4,0),""))&amp;""</f>
        <v/>
      </c>
      <c r="M163" s="205" t="str">
        <f>IFERROR(VLOOKUP($I163,'Institution Evaluation'!$A$55:$F$345,6,0),IFERROR(VLOOKUP($I163,'Privacy Analyst Evaluation'!$A$46:$F$120,6,0),""))&amp;""</f>
        <v/>
      </c>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row>
    <row r="164" spans="1:338" x14ac:dyDescent="0.3">
      <c r="A164" s="205" t="str">
        <f>IFERROR(IF($A163+1&gt;'(backend scoring)'!$T$335,"",$A163+1),"")</f>
        <v/>
      </c>
      <c r="B164" s="205" t="str">
        <f>_xlfn.XLOOKUP($A164,'(backend scoring)'!$V$2:$V$333,'(backend scoring)'!$A$2:$A$333,"")</f>
        <v/>
      </c>
      <c r="C164" s="205" t="str">
        <f>IFERROR(VLOOKUP($B164,'Institution Evaluation'!$A$55:$F$345,2,0),IFERROR(VLOOKUP($B164,'Privacy Analyst Evaluation'!$A$46:$F$120,2,0),""))&amp;""</f>
        <v/>
      </c>
      <c r="D164" s="205" t="str">
        <f>IFERROR(VLOOKUP($B164,'Institution Evaluation'!$A$55:$F$345,3,0),IFERROR(VLOOKUP($B164,'Privacy Analyst Evaluation'!$A$46:$F$120,3,0),""))&amp;""</f>
        <v/>
      </c>
      <c r="E164" s="205" t="str">
        <f>IFERROR(VLOOKUP($B164,'Institution Evaluation'!$A$55:$F$345,4,0),IFERROR(VLOOKUP($B164,'Privacy Analyst Evaluation'!$A$46:$F$120,4,0),""))&amp;""</f>
        <v/>
      </c>
      <c r="F164" s="205" t="str">
        <f>IFERROR(VLOOKUP($B164,'Institution Evaluation'!$A$55:$F$345,6,0),IFERROR(VLOOKUP($B164,'Privacy Analyst Evaluation'!$A$46:$F$120,6,0),""))&amp;""</f>
        <v/>
      </c>
      <c r="G164" s="206"/>
      <c r="H164" s="205" t="str">
        <f>IFERROR(IF($H163+1&gt;'(backend scoring)'!$Q$335,"",$H163+1),"")</f>
        <v/>
      </c>
      <c r="I164" s="205" t="str">
        <f>_xlfn.XLOOKUP($H164,'(backend scoring)'!$S$2:$S$333,'(backend scoring)'!$A$2:$A$333,"")</f>
        <v/>
      </c>
      <c r="J164" s="205" t="str">
        <f>IFERROR(VLOOKUP($I164,'Institution Evaluation'!$A$55:$F$345,2,0),IFERROR(VLOOKUP($I164,'Privacy Analyst Evaluation'!$A$46:$F$120,2,0),""))</f>
        <v/>
      </c>
      <c r="K164" s="205" t="str">
        <f>IFERROR(VLOOKUP($I164,'Institution Evaluation'!$A$55:$F$345,3,0),IFERROR(VLOOKUP($I164,'Privacy Analyst Evaluation'!$A$46:$F$120,3,0),""))&amp;""</f>
        <v/>
      </c>
      <c r="L164" s="205" t="str">
        <f>IFERROR(VLOOKUP($I164,'Institution Evaluation'!$A$55:$F$345,4,0),IFERROR(VLOOKUP($I164,'Privacy Analyst Evaluation'!$A$46:$F$120,4,0),""))&amp;""</f>
        <v/>
      </c>
      <c r="M164" s="205" t="str">
        <f>IFERROR(VLOOKUP($I164,'Institution Evaluation'!$A$55:$F$345,6,0),IFERROR(VLOOKUP($I164,'Privacy Analyst Evaluation'!$A$46:$F$120,6,0),""))&amp;""</f>
        <v/>
      </c>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row>
    <row r="165" spans="1:338" x14ac:dyDescent="0.3">
      <c r="A165" s="205" t="str">
        <f>IFERROR(IF($A164+1&gt;'(backend scoring)'!$T$335,"",$A164+1),"")</f>
        <v/>
      </c>
      <c r="B165" s="205" t="str">
        <f>_xlfn.XLOOKUP($A165,'(backend scoring)'!$V$2:$V$333,'(backend scoring)'!$A$2:$A$333,"")</f>
        <v/>
      </c>
      <c r="C165" s="205" t="str">
        <f>IFERROR(VLOOKUP($B165,'Institution Evaluation'!$A$55:$F$345,2,0),IFERROR(VLOOKUP($B165,'Privacy Analyst Evaluation'!$A$46:$F$120,2,0),""))&amp;""</f>
        <v/>
      </c>
      <c r="D165" s="205" t="str">
        <f>IFERROR(VLOOKUP($B165,'Institution Evaluation'!$A$55:$F$345,3,0),IFERROR(VLOOKUP($B165,'Privacy Analyst Evaluation'!$A$46:$F$120,3,0),""))&amp;""</f>
        <v/>
      </c>
      <c r="E165" s="205" t="str">
        <f>IFERROR(VLOOKUP($B165,'Institution Evaluation'!$A$55:$F$345,4,0),IFERROR(VLOOKUP($B165,'Privacy Analyst Evaluation'!$A$46:$F$120,4,0),""))&amp;""</f>
        <v/>
      </c>
      <c r="F165" s="205" t="str">
        <f>IFERROR(VLOOKUP($B165,'Institution Evaluation'!$A$55:$F$345,6,0),IFERROR(VLOOKUP($B165,'Privacy Analyst Evaluation'!$A$46:$F$120,6,0),""))&amp;""</f>
        <v/>
      </c>
      <c r="G165" s="206"/>
      <c r="H165" s="205" t="str">
        <f>IFERROR(IF($H164+1&gt;'(backend scoring)'!$Q$335,"",$H164+1),"")</f>
        <v/>
      </c>
      <c r="I165" s="205" t="str">
        <f>_xlfn.XLOOKUP($H165,'(backend scoring)'!$S$2:$S$333,'(backend scoring)'!$A$2:$A$333,"")</f>
        <v/>
      </c>
      <c r="J165" s="205" t="str">
        <f>IFERROR(VLOOKUP($I165,'Institution Evaluation'!$A$55:$F$345,2,0),IFERROR(VLOOKUP($I165,'Privacy Analyst Evaluation'!$A$46:$F$120,2,0),""))</f>
        <v/>
      </c>
      <c r="K165" s="205" t="str">
        <f>IFERROR(VLOOKUP($I165,'Institution Evaluation'!$A$55:$F$345,3,0),IFERROR(VLOOKUP($I165,'Privacy Analyst Evaluation'!$A$46:$F$120,3,0),""))&amp;""</f>
        <v/>
      </c>
      <c r="L165" s="205" t="str">
        <f>IFERROR(VLOOKUP($I165,'Institution Evaluation'!$A$55:$F$345,4,0),IFERROR(VLOOKUP($I165,'Privacy Analyst Evaluation'!$A$46:$F$120,4,0),""))&amp;""</f>
        <v/>
      </c>
      <c r="M165" s="205" t="str">
        <f>IFERROR(VLOOKUP($I165,'Institution Evaluation'!$A$55:$F$345,6,0),IFERROR(VLOOKUP($I165,'Privacy Analyst Evaluation'!$A$46:$F$120,6,0),""))&amp;""</f>
        <v/>
      </c>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row>
    <row r="166" spans="1:338" x14ac:dyDescent="0.3">
      <c r="A166" s="205" t="str">
        <f>IFERROR(IF($A165+1&gt;'(backend scoring)'!$T$335,"",$A165+1),"")</f>
        <v/>
      </c>
      <c r="B166" s="205" t="str">
        <f>_xlfn.XLOOKUP($A166,'(backend scoring)'!$V$2:$V$333,'(backend scoring)'!$A$2:$A$333,"")</f>
        <v/>
      </c>
      <c r="C166" s="205" t="str">
        <f>IFERROR(VLOOKUP($B166,'Institution Evaluation'!$A$55:$F$345,2,0),IFERROR(VLOOKUP($B166,'Privacy Analyst Evaluation'!$A$46:$F$120,2,0),""))&amp;""</f>
        <v/>
      </c>
      <c r="D166" s="205" t="str">
        <f>IFERROR(VLOOKUP($B166,'Institution Evaluation'!$A$55:$F$345,3,0),IFERROR(VLOOKUP($B166,'Privacy Analyst Evaluation'!$A$46:$F$120,3,0),""))&amp;""</f>
        <v/>
      </c>
      <c r="E166" s="205" t="str">
        <f>IFERROR(VLOOKUP($B166,'Institution Evaluation'!$A$55:$F$345,4,0),IFERROR(VLOOKUP($B166,'Privacy Analyst Evaluation'!$A$46:$F$120,4,0),""))&amp;""</f>
        <v/>
      </c>
      <c r="F166" s="205" t="str">
        <f>IFERROR(VLOOKUP($B166,'Institution Evaluation'!$A$55:$F$345,6,0),IFERROR(VLOOKUP($B166,'Privacy Analyst Evaluation'!$A$46:$F$120,6,0),""))&amp;""</f>
        <v/>
      </c>
      <c r="G166" s="206"/>
      <c r="H166" s="205" t="str">
        <f>IFERROR(IF($H165+1&gt;'(backend scoring)'!$Q$335,"",$H165+1),"")</f>
        <v/>
      </c>
      <c r="I166" s="205" t="str">
        <f>_xlfn.XLOOKUP($H166,'(backend scoring)'!$S$2:$S$333,'(backend scoring)'!$A$2:$A$333,"")</f>
        <v/>
      </c>
      <c r="J166" s="205" t="str">
        <f>IFERROR(VLOOKUP($I166,'Institution Evaluation'!$A$55:$F$345,2,0),IFERROR(VLOOKUP($I166,'Privacy Analyst Evaluation'!$A$46:$F$120,2,0),""))</f>
        <v/>
      </c>
      <c r="K166" s="205" t="str">
        <f>IFERROR(VLOOKUP($I166,'Institution Evaluation'!$A$55:$F$345,3,0),IFERROR(VLOOKUP($I166,'Privacy Analyst Evaluation'!$A$46:$F$120,3,0),""))&amp;""</f>
        <v/>
      </c>
      <c r="L166" s="205" t="str">
        <f>IFERROR(VLOOKUP($I166,'Institution Evaluation'!$A$55:$F$345,4,0),IFERROR(VLOOKUP($I166,'Privacy Analyst Evaluation'!$A$46:$F$120,4,0),""))&amp;""</f>
        <v/>
      </c>
      <c r="M166" s="205" t="str">
        <f>IFERROR(VLOOKUP($I166,'Institution Evaluation'!$A$55:$F$345,6,0),IFERROR(VLOOKUP($I166,'Privacy Analyst Evaluation'!$A$46:$F$120,6,0),""))&amp;""</f>
        <v/>
      </c>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row>
    <row r="167" spans="1:338" x14ac:dyDescent="0.3">
      <c r="A167" s="205" t="str">
        <f>IFERROR(IF($A166+1&gt;'(backend scoring)'!$T$335,"",$A166+1),"")</f>
        <v/>
      </c>
      <c r="B167" s="205" t="str">
        <f>_xlfn.XLOOKUP($A167,'(backend scoring)'!$V$2:$V$333,'(backend scoring)'!$A$2:$A$333,"")</f>
        <v/>
      </c>
      <c r="C167" s="205" t="str">
        <f>IFERROR(VLOOKUP($B167,'Institution Evaluation'!$A$55:$F$345,2,0),IFERROR(VLOOKUP($B167,'Privacy Analyst Evaluation'!$A$46:$F$120,2,0),""))&amp;""</f>
        <v/>
      </c>
      <c r="D167" s="205" t="str">
        <f>IFERROR(VLOOKUP($B167,'Institution Evaluation'!$A$55:$F$345,3,0),IFERROR(VLOOKUP($B167,'Privacy Analyst Evaluation'!$A$46:$F$120,3,0),""))&amp;""</f>
        <v/>
      </c>
      <c r="E167" s="205" t="str">
        <f>IFERROR(VLOOKUP($B167,'Institution Evaluation'!$A$55:$F$345,4,0),IFERROR(VLOOKUP($B167,'Privacy Analyst Evaluation'!$A$46:$F$120,4,0),""))&amp;""</f>
        <v/>
      </c>
      <c r="F167" s="205" t="str">
        <f>IFERROR(VLOOKUP($B167,'Institution Evaluation'!$A$55:$F$345,6,0),IFERROR(VLOOKUP($B167,'Privacy Analyst Evaluation'!$A$46:$F$120,6,0),""))&amp;""</f>
        <v/>
      </c>
      <c r="G167" s="206"/>
      <c r="H167" s="205" t="str">
        <f>IFERROR(IF($H166+1&gt;'(backend scoring)'!$Q$335,"",$H166+1),"")</f>
        <v/>
      </c>
      <c r="I167" s="205" t="str">
        <f>_xlfn.XLOOKUP($H167,'(backend scoring)'!$S$2:$S$333,'(backend scoring)'!$A$2:$A$333,"")</f>
        <v/>
      </c>
      <c r="J167" s="205" t="str">
        <f>IFERROR(VLOOKUP($I167,'Institution Evaluation'!$A$55:$F$345,2,0),IFERROR(VLOOKUP($I167,'Privacy Analyst Evaluation'!$A$46:$F$120,2,0),""))</f>
        <v/>
      </c>
      <c r="K167" s="205" t="str">
        <f>IFERROR(VLOOKUP($I167,'Institution Evaluation'!$A$55:$F$345,3,0),IFERROR(VLOOKUP($I167,'Privacy Analyst Evaluation'!$A$46:$F$120,3,0),""))&amp;""</f>
        <v/>
      </c>
      <c r="L167" s="205" t="str">
        <f>IFERROR(VLOOKUP($I167,'Institution Evaluation'!$A$55:$F$345,4,0),IFERROR(VLOOKUP($I167,'Privacy Analyst Evaluation'!$A$46:$F$120,4,0),""))&amp;""</f>
        <v/>
      </c>
      <c r="M167" s="205" t="str">
        <f>IFERROR(VLOOKUP($I167,'Institution Evaluation'!$A$55:$F$345,6,0),IFERROR(VLOOKUP($I167,'Privacy Analyst Evaluation'!$A$46:$F$120,6,0),""))&amp;""</f>
        <v/>
      </c>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row>
    <row r="168" spans="1:338" x14ac:dyDescent="0.3">
      <c r="A168" s="205" t="str">
        <f>IFERROR(IF($A167+1&gt;'(backend scoring)'!$T$335,"",$A167+1),"")</f>
        <v/>
      </c>
      <c r="B168" s="205" t="str">
        <f>_xlfn.XLOOKUP($A168,'(backend scoring)'!$V$2:$V$333,'(backend scoring)'!$A$2:$A$333,"")</f>
        <v/>
      </c>
      <c r="C168" s="205" t="str">
        <f>IFERROR(VLOOKUP($B168,'Institution Evaluation'!$A$55:$F$345,2,0),IFERROR(VLOOKUP($B168,'Privacy Analyst Evaluation'!$A$46:$F$120,2,0),""))&amp;""</f>
        <v/>
      </c>
      <c r="D168" s="205" t="str">
        <f>IFERROR(VLOOKUP($B168,'Institution Evaluation'!$A$55:$F$345,3,0),IFERROR(VLOOKUP($B168,'Privacy Analyst Evaluation'!$A$46:$F$120,3,0),""))&amp;""</f>
        <v/>
      </c>
      <c r="E168" s="205" t="str">
        <f>IFERROR(VLOOKUP($B168,'Institution Evaluation'!$A$55:$F$345,4,0),IFERROR(VLOOKUP($B168,'Privacy Analyst Evaluation'!$A$46:$F$120,4,0),""))&amp;""</f>
        <v/>
      </c>
      <c r="F168" s="205" t="str">
        <f>IFERROR(VLOOKUP($B168,'Institution Evaluation'!$A$55:$F$345,6,0),IFERROR(VLOOKUP($B168,'Privacy Analyst Evaluation'!$A$46:$F$120,6,0),""))&amp;""</f>
        <v/>
      </c>
      <c r="G168" s="206"/>
      <c r="H168" s="205" t="str">
        <f>IFERROR(IF($H167+1&gt;'(backend scoring)'!$Q$335,"",$H167+1),"")</f>
        <v/>
      </c>
      <c r="I168" s="205" t="str">
        <f>_xlfn.XLOOKUP($H168,'(backend scoring)'!$S$2:$S$333,'(backend scoring)'!$A$2:$A$333,"")</f>
        <v/>
      </c>
      <c r="J168" s="205" t="str">
        <f>IFERROR(VLOOKUP($I168,'Institution Evaluation'!$A$55:$F$345,2,0),IFERROR(VLOOKUP($I168,'Privacy Analyst Evaluation'!$A$46:$F$120,2,0),""))</f>
        <v/>
      </c>
      <c r="K168" s="205" t="str">
        <f>IFERROR(VLOOKUP($I168,'Institution Evaluation'!$A$55:$F$345,3,0),IFERROR(VLOOKUP($I168,'Privacy Analyst Evaluation'!$A$46:$F$120,3,0),""))&amp;""</f>
        <v/>
      </c>
      <c r="L168" s="205" t="str">
        <f>IFERROR(VLOOKUP($I168,'Institution Evaluation'!$A$55:$F$345,4,0),IFERROR(VLOOKUP($I168,'Privacy Analyst Evaluation'!$A$46:$F$120,4,0),""))&amp;""</f>
        <v/>
      </c>
      <c r="M168" s="205" t="str">
        <f>IFERROR(VLOOKUP($I168,'Institution Evaluation'!$A$55:$F$345,6,0),IFERROR(VLOOKUP($I168,'Privacy Analyst Evaluation'!$A$46:$F$120,6,0),""))&amp;""</f>
        <v/>
      </c>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row>
    <row r="169" spans="1:338" x14ac:dyDescent="0.3">
      <c r="A169" s="205" t="str">
        <f>IFERROR(IF($A168+1&gt;'(backend scoring)'!$T$335,"",$A168+1),"")</f>
        <v/>
      </c>
      <c r="B169" s="205" t="str">
        <f>_xlfn.XLOOKUP($A169,'(backend scoring)'!$V$2:$V$333,'(backend scoring)'!$A$2:$A$333,"")</f>
        <v/>
      </c>
      <c r="C169" s="205" t="str">
        <f>IFERROR(VLOOKUP($B169,'Institution Evaluation'!$A$55:$F$345,2,0),IFERROR(VLOOKUP($B169,'Privacy Analyst Evaluation'!$A$46:$F$120,2,0),""))&amp;""</f>
        <v/>
      </c>
      <c r="D169" s="205" t="str">
        <f>IFERROR(VLOOKUP($B169,'Institution Evaluation'!$A$55:$F$345,3,0),IFERROR(VLOOKUP($B169,'Privacy Analyst Evaluation'!$A$46:$F$120,3,0),""))&amp;""</f>
        <v/>
      </c>
      <c r="E169" s="205" t="str">
        <f>IFERROR(VLOOKUP($B169,'Institution Evaluation'!$A$55:$F$345,4,0),IFERROR(VLOOKUP($B169,'Privacy Analyst Evaluation'!$A$46:$F$120,4,0),""))&amp;""</f>
        <v/>
      </c>
      <c r="F169" s="205" t="str">
        <f>IFERROR(VLOOKUP($B169,'Institution Evaluation'!$A$55:$F$345,6,0),IFERROR(VLOOKUP($B169,'Privacy Analyst Evaluation'!$A$46:$F$120,6,0),""))&amp;""</f>
        <v/>
      </c>
      <c r="G169" s="206"/>
      <c r="H169" s="205" t="str">
        <f>IFERROR(IF($H168+1&gt;'(backend scoring)'!$Q$335,"",$H168+1),"")</f>
        <v/>
      </c>
      <c r="I169" s="205" t="str">
        <f>_xlfn.XLOOKUP($H169,'(backend scoring)'!$S$2:$S$333,'(backend scoring)'!$A$2:$A$333,"")</f>
        <v/>
      </c>
      <c r="J169" s="205" t="str">
        <f>IFERROR(VLOOKUP($I169,'Institution Evaluation'!$A$55:$F$345,2,0),IFERROR(VLOOKUP($I169,'Privacy Analyst Evaluation'!$A$46:$F$120,2,0),""))</f>
        <v/>
      </c>
      <c r="K169" s="205" t="str">
        <f>IFERROR(VLOOKUP($I169,'Institution Evaluation'!$A$55:$F$345,3,0),IFERROR(VLOOKUP($I169,'Privacy Analyst Evaluation'!$A$46:$F$120,3,0),""))&amp;""</f>
        <v/>
      </c>
      <c r="L169" s="205" t="str">
        <f>IFERROR(VLOOKUP($I169,'Institution Evaluation'!$A$55:$F$345,4,0),IFERROR(VLOOKUP($I169,'Privacy Analyst Evaluation'!$A$46:$F$120,4,0),""))&amp;""</f>
        <v/>
      </c>
      <c r="M169" s="205" t="str">
        <f>IFERROR(VLOOKUP($I169,'Institution Evaluation'!$A$55:$F$345,6,0),IFERROR(VLOOKUP($I169,'Privacy Analyst Evaluation'!$A$46:$F$120,6,0),""))&amp;""</f>
        <v/>
      </c>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row>
    <row r="170" spans="1:338" x14ac:dyDescent="0.3">
      <c r="A170" s="205" t="str">
        <f>IFERROR(IF($A169+1&gt;'(backend scoring)'!$T$335,"",$A169+1),"")</f>
        <v/>
      </c>
      <c r="B170" s="205" t="str">
        <f>_xlfn.XLOOKUP($A170,'(backend scoring)'!$V$2:$V$333,'(backend scoring)'!$A$2:$A$333,"")</f>
        <v/>
      </c>
      <c r="C170" s="205" t="str">
        <f>IFERROR(VLOOKUP($B170,'Institution Evaluation'!$A$55:$F$345,2,0),IFERROR(VLOOKUP($B170,'Privacy Analyst Evaluation'!$A$46:$F$120,2,0),""))&amp;""</f>
        <v/>
      </c>
      <c r="D170" s="205" t="str">
        <f>IFERROR(VLOOKUP($B170,'Institution Evaluation'!$A$55:$F$345,3,0),IFERROR(VLOOKUP($B170,'Privacy Analyst Evaluation'!$A$46:$F$120,3,0),""))&amp;""</f>
        <v/>
      </c>
      <c r="E170" s="205" t="str">
        <f>IFERROR(VLOOKUP($B170,'Institution Evaluation'!$A$55:$F$345,4,0),IFERROR(VLOOKUP($B170,'Privacy Analyst Evaluation'!$A$46:$F$120,4,0),""))&amp;""</f>
        <v/>
      </c>
      <c r="F170" s="205" t="str">
        <f>IFERROR(VLOOKUP($B170,'Institution Evaluation'!$A$55:$F$345,6,0),IFERROR(VLOOKUP($B170,'Privacy Analyst Evaluation'!$A$46:$F$120,6,0),""))&amp;""</f>
        <v/>
      </c>
      <c r="G170" s="206"/>
      <c r="H170" s="205" t="str">
        <f>IFERROR(IF($H169+1&gt;'(backend scoring)'!$Q$335,"",$H169+1),"")</f>
        <v/>
      </c>
      <c r="I170" s="205" t="str">
        <f>_xlfn.XLOOKUP($H170,'(backend scoring)'!$S$2:$S$333,'(backend scoring)'!$A$2:$A$333,"")</f>
        <v/>
      </c>
      <c r="J170" s="205" t="str">
        <f>IFERROR(VLOOKUP($I170,'Institution Evaluation'!$A$55:$F$345,2,0),IFERROR(VLOOKUP($I170,'Privacy Analyst Evaluation'!$A$46:$F$120,2,0),""))</f>
        <v/>
      </c>
      <c r="K170" s="205" t="str">
        <f>IFERROR(VLOOKUP($I170,'Institution Evaluation'!$A$55:$F$345,3,0),IFERROR(VLOOKUP($I170,'Privacy Analyst Evaluation'!$A$46:$F$120,3,0),""))&amp;""</f>
        <v/>
      </c>
      <c r="L170" s="205" t="str">
        <f>IFERROR(VLOOKUP($I170,'Institution Evaluation'!$A$55:$F$345,4,0),IFERROR(VLOOKUP($I170,'Privacy Analyst Evaluation'!$A$46:$F$120,4,0),""))&amp;""</f>
        <v/>
      </c>
      <c r="M170" s="205" t="str">
        <f>IFERROR(VLOOKUP($I170,'Institution Evaluation'!$A$55:$F$345,6,0),IFERROR(VLOOKUP($I170,'Privacy Analyst Evaluation'!$A$46:$F$120,6,0),""))&amp;""</f>
        <v/>
      </c>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row>
    <row r="171" spans="1:338" x14ac:dyDescent="0.3">
      <c r="A171" s="205" t="str">
        <f>IFERROR(IF($A170+1&gt;'(backend scoring)'!$T$335,"",$A170+1),"")</f>
        <v/>
      </c>
      <c r="B171" s="205" t="str">
        <f>_xlfn.XLOOKUP($A171,'(backend scoring)'!$V$2:$V$333,'(backend scoring)'!$A$2:$A$333,"")</f>
        <v/>
      </c>
      <c r="C171" s="205" t="str">
        <f>IFERROR(VLOOKUP($B171,'Institution Evaluation'!$A$55:$F$345,2,0),IFERROR(VLOOKUP($B171,'Privacy Analyst Evaluation'!$A$46:$F$120,2,0),""))&amp;""</f>
        <v/>
      </c>
      <c r="D171" s="205" t="str">
        <f>IFERROR(VLOOKUP($B171,'Institution Evaluation'!$A$55:$F$345,3,0),IFERROR(VLOOKUP($B171,'Privacy Analyst Evaluation'!$A$46:$F$120,3,0),""))&amp;""</f>
        <v/>
      </c>
      <c r="E171" s="205" t="str">
        <f>IFERROR(VLOOKUP($B171,'Institution Evaluation'!$A$55:$F$345,4,0),IFERROR(VLOOKUP($B171,'Privacy Analyst Evaluation'!$A$46:$F$120,4,0),""))&amp;""</f>
        <v/>
      </c>
      <c r="F171" s="205" t="str">
        <f>IFERROR(VLOOKUP($B171,'Institution Evaluation'!$A$55:$F$345,6,0),IFERROR(VLOOKUP($B171,'Privacy Analyst Evaluation'!$A$46:$F$120,6,0),""))&amp;""</f>
        <v/>
      </c>
      <c r="G171" s="206"/>
      <c r="H171" s="205" t="str">
        <f>IFERROR(IF($H170+1&gt;'(backend scoring)'!$Q$335,"",$H170+1),"")</f>
        <v/>
      </c>
      <c r="I171" s="205" t="str">
        <f>_xlfn.XLOOKUP($H171,'(backend scoring)'!$S$2:$S$333,'(backend scoring)'!$A$2:$A$333,"")</f>
        <v/>
      </c>
      <c r="J171" s="205" t="str">
        <f>IFERROR(VLOOKUP($I171,'Institution Evaluation'!$A$55:$F$345,2,0),IFERROR(VLOOKUP($I171,'Privacy Analyst Evaluation'!$A$46:$F$120,2,0),""))</f>
        <v/>
      </c>
      <c r="K171" s="205" t="str">
        <f>IFERROR(VLOOKUP($I171,'Institution Evaluation'!$A$55:$F$345,3,0),IFERROR(VLOOKUP($I171,'Privacy Analyst Evaluation'!$A$46:$F$120,3,0),""))&amp;""</f>
        <v/>
      </c>
      <c r="L171" s="205" t="str">
        <f>IFERROR(VLOOKUP($I171,'Institution Evaluation'!$A$55:$F$345,4,0),IFERROR(VLOOKUP($I171,'Privacy Analyst Evaluation'!$A$46:$F$120,4,0),""))&amp;""</f>
        <v/>
      </c>
      <c r="M171" s="205" t="str">
        <f>IFERROR(VLOOKUP($I171,'Institution Evaluation'!$A$55:$F$345,6,0),IFERROR(VLOOKUP($I171,'Privacy Analyst Evaluation'!$A$46:$F$120,6,0),""))&amp;""</f>
        <v/>
      </c>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row>
    <row r="172" spans="1:338" x14ac:dyDescent="0.3">
      <c r="A172" s="205" t="str">
        <f>IFERROR(IF($A171+1&gt;'(backend scoring)'!$T$335,"",$A171+1),"")</f>
        <v/>
      </c>
      <c r="B172" s="205" t="str">
        <f>_xlfn.XLOOKUP($A172,'(backend scoring)'!$V$2:$V$333,'(backend scoring)'!$A$2:$A$333,"")</f>
        <v/>
      </c>
      <c r="C172" s="205" t="str">
        <f>IFERROR(VLOOKUP($B172,'Institution Evaluation'!$A$55:$F$345,2,0),IFERROR(VLOOKUP($B172,'Privacy Analyst Evaluation'!$A$46:$F$120,2,0),""))&amp;""</f>
        <v/>
      </c>
      <c r="D172" s="205" t="str">
        <f>IFERROR(VLOOKUP($B172,'Institution Evaluation'!$A$55:$F$345,3,0),IFERROR(VLOOKUP($B172,'Privacy Analyst Evaluation'!$A$46:$F$120,3,0),""))&amp;""</f>
        <v/>
      </c>
      <c r="E172" s="205" t="str">
        <f>IFERROR(VLOOKUP($B172,'Institution Evaluation'!$A$55:$F$345,4,0),IFERROR(VLOOKUP($B172,'Privacy Analyst Evaluation'!$A$46:$F$120,4,0),""))&amp;""</f>
        <v/>
      </c>
      <c r="F172" s="205" t="str">
        <f>IFERROR(VLOOKUP($B172,'Institution Evaluation'!$A$55:$F$345,6,0),IFERROR(VLOOKUP($B172,'Privacy Analyst Evaluation'!$A$46:$F$120,6,0),""))&amp;""</f>
        <v/>
      </c>
      <c r="G172" s="206"/>
      <c r="H172" s="205" t="str">
        <f>IFERROR(IF($H171+1&gt;'(backend scoring)'!$Q$335,"",$H171+1),"")</f>
        <v/>
      </c>
      <c r="I172" s="205" t="str">
        <f>_xlfn.XLOOKUP($H172,'(backend scoring)'!$S$2:$S$333,'(backend scoring)'!$A$2:$A$333,"")</f>
        <v/>
      </c>
      <c r="J172" s="205" t="str">
        <f>IFERROR(VLOOKUP($I172,'Institution Evaluation'!$A$55:$F$345,2,0),IFERROR(VLOOKUP($I172,'Privacy Analyst Evaluation'!$A$46:$F$120,2,0),""))</f>
        <v/>
      </c>
      <c r="K172" s="205" t="str">
        <f>IFERROR(VLOOKUP($I172,'Institution Evaluation'!$A$55:$F$345,3,0),IFERROR(VLOOKUP($I172,'Privacy Analyst Evaluation'!$A$46:$F$120,3,0),""))&amp;""</f>
        <v/>
      </c>
      <c r="L172" s="205" t="str">
        <f>IFERROR(VLOOKUP($I172,'Institution Evaluation'!$A$55:$F$345,4,0),IFERROR(VLOOKUP($I172,'Privacy Analyst Evaluation'!$A$46:$F$120,4,0),""))&amp;""</f>
        <v/>
      </c>
      <c r="M172" s="205" t="str">
        <f>IFERROR(VLOOKUP($I172,'Institution Evaluation'!$A$55:$F$345,6,0),IFERROR(VLOOKUP($I172,'Privacy Analyst Evaluation'!$A$46:$F$120,6,0),""))&amp;""</f>
        <v/>
      </c>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row>
    <row r="173" spans="1:338" x14ac:dyDescent="0.3">
      <c r="A173" s="205" t="str">
        <f>IFERROR(IF($A172+1&gt;'(backend scoring)'!$T$335,"",$A172+1),"")</f>
        <v/>
      </c>
      <c r="B173" s="205" t="str">
        <f>_xlfn.XLOOKUP($A173,'(backend scoring)'!$V$2:$V$333,'(backend scoring)'!$A$2:$A$333,"")</f>
        <v/>
      </c>
      <c r="C173" s="205" t="str">
        <f>IFERROR(VLOOKUP($B173,'Institution Evaluation'!$A$55:$F$345,2,0),IFERROR(VLOOKUP($B173,'Privacy Analyst Evaluation'!$A$46:$F$120,2,0),""))&amp;""</f>
        <v/>
      </c>
      <c r="D173" s="205" t="str">
        <f>IFERROR(VLOOKUP($B173,'Institution Evaluation'!$A$55:$F$345,3,0),IFERROR(VLOOKUP($B173,'Privacy Analyst Evaluation'!$A$46:$F$120,3,0),""))&amp;""</f>
        <v/>
      </c>
      <c r="E173" s="205" t="str">
        <f>IFERROR(VLOOKUP($B173,'Institution Evaluation'!$A$55:$F$345,4,0),IFERROR(VLOOKUP($B173,'Privacy Analyst Evaluation'!$A$46:$F$120,4,0),""))&amp;""</f>
        <v/>
      </c>
      <c r="F173" s="205" t="str">
        <f>IFERROR(VLOOKUP($B173,'Institution Evaluation'!$A$55:$F$345,6,0),IFERROR(VLOOKUP($B173,'Privacy Analyst Evaluation'!$A$46:$F$120,6,0),""))&amp;""</f>
        <v/>
      </c>
      <c r="G173" s="206"/>
      <c r="H173" s="205" t="str">
        <f>IFERROR(IF($H172+1&gt;'(backend scoring)'!$Q$335,"",$H172+1),"")</f>
        <v/>
      </c>
      <c r="I173" s="205" t="str">
        <f>_xlfn.XLOOKUP($H173,'(backend scoring)'!$S$2:$S$333,'(backend scoring)'!$A$2:$A$333,"")</f>
        <v/>
      </c>
      <c r="J173" s="205" t="str">
        <f>IFERROR(VLOOKUP($I173,'Institution Evaluation'!$A$55:$F$345,2,0),IFERROR(VLOOKUP($I173,'Privacy Analyst Evaluation'!$A$46:$F$120,2,0),""))</f>
        <v/>
      </c>
      <c r="K173" s="205" t="str">
        <f>IFERROR(VLOOKUP($I173,'Institution Evaluation'!$A$55:$F$345,3,0),IFERROR(VLOOKUP($I173,'Privacy Analyst Evaluation'!$A$46:$F$120,3,0),""))&amp;""</f>
        <v/>
      </c>
      <c r="L173" s="205" t="str">
        <f>IFERROR(VLOOKUP($I173,'Institution Evaluation'!$A$55:$F$345,4,0),IFERROR(VLOOKUP($I173,'Privacy Analyst Evaluation'!$A$46:$F$120,4,0),""))&amp;""</f>
        <v/>
      </c>
      <c r="M173" s="205" t="str">
        <f>IFERROR(VLOOKUP($I173,'Institution Evaluation'!$A$55:$F$345,6,0),IFERROR(VLOOKUP($I173,'Privacy Analyst Evaluation'!$A$46:$F$120,6,0),""))&amp;""</f>
        <v/>
      </c>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row>
    <row r="174" spans="1:338" x14ac:dyDescent="0.3">
      <c r="A174" s="205" t="str">
        <f>IFERROR(IF($A173+1&gt;'(backend scoring)'!$T$335,"",$A173+1),"")</f>
        <v/>
      </c>
      <c r="B174" s="205" t="str">
        <f>_xlfn.XLOOKUP($A174,'(backend scoring)'!$V$2:$V$333,'(backend scoring)'!$A$2:$A$333,"")</f>
        <v/>
      </c>
      <c r="C174" s="205" t="str">
        <f>IFERROR(VLOOKUP($B174,'Institution Evaluation'!$A$55:$F$345,2,0),IFERROR(VLOOKUP($B174,'Privacy Analyst Evaluation'!$A$46:$F$120,2,0),""))&amp;""</f>
        <v/>
      </c>
      <c r="D174" s="205" t="str">
        <f>IFERROR(VLOOKUP($B174,'Institution Evaluation'!$A$55:$F$345,3,0),IFERROR(VLOOKUP($B174,'Privacy Analyst Evaluation'!$A$46:$F$120,3,0),""))&amp;""</f>
        <v/>
      </c>
      <c r="E174" s="205" t="str">
        <f>IFERROR(VLOOKUP($B174,'Institution Evaluation'!$A$55:$F$345,4,0),IFERROR(VLOOKUP($B174,'Privacy Analyst Evaluation'!$A$46:$F$120,4,0),""))&amp;""</f>
        <v/>
      </c>
      <c r="F174" s="205" t="str">
        <f>IFERROR(VLOOKUP($B174,'Institution Evaluation'!$A$55:$F$345,6,0),IFERROR(VLOOKUP($B174,'Privacy Analyst Evaluation'!$A$46:$F$120,6,0),""))&amp;""</f>
        <v/>
      </c>
      <c r="G174" s="206"/>
      <c r="H174" s="205" t="str">
        <f>IFERROR(IF($H173+1&gt;'(backend scoring)'!$Q$335,"",$H173+1),"")</f>
        <v/>
      </c>
      <c r="I174" s="205" t="str">
        <f>_xlfn.XLOOKUP($H174,'(backend scoring)'!$S$2:$S$333,'(backend scoring)'!$A$2:$A$333,"")</f>
        <v/>
      </c>
      <c r="J174" s="205" t="str">
        <f>IFERROR(VLOOKUP($I174,'Institution Evaluation'!$A$55:$F$345,2,0),IFERROR(VLOOKUP($I174,'Privacy Analyst Evaluation'!$A$46:$F$120,2,0),""))</f>
        <v/>
      </c>
      <c r="K174" s="205" t="str">
        <f>IFERROR(VLOOKUP($I174,'Institution Evaluation'!$A$55:$F$345,3,0),IFERROR(VLOOKUP($I174,'Privacy Analyst Evaluation'!$A$46:$F$120,3,0),""))&amp;""</f>
        <v/>
      </c>
      <c r="L174" s="205" t="str">
        <f>IFERROR(VLOOKUP($I174,'Institution Evaluation'!$A$55:$F$345,4,0),IFERROR(VLOOKUP($I174,'Privacy Analyst Evaluation'!$A$46:$F$120,4,0),""))&amp;""</f>
        <v/>
      </c>
      <c r="M174" s="205" t="str">
        <f>IFERROR(VLOOKUP($I174,'Institution Evaluation'!$A$55:$F$345,6,0),IFERROR(VLOOKUP($I174,'Privacy Analyst Evaluation'!$A$46:$F$120,6,0),""))&amp;""</f>
        <v/>
      </c>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row>
    <row r="175" spans="1:338" x14ac:dyDescent="0.3">
      <c r="A175" s="205" t="str">
        <f>IFERROR(IF($A174+1&gt;'(backend scoring)'!$T$335,"",$A174+1),"")</f>
        <v/>
      </c>
      <c r="B175" s="205" t="str">
        <f>_xlfn.XLOOKUP($A175,'(backend scoring)'!$V$2:$V$333,'(backend scoring)'!$A$2:$A$333,"")</f>
        <v/>
      </c>
      <c r="C175" s="205" t="str">
        <f>IFERROR(VLOOKUP($B175,'Institution Evaluation'!$A$55:$F$345,2,0),IFERROR(VLOOKUP($B175,'Privacy Analyst Evaluation'!$A$46:$F$120,2,0),""))&amp;""</f>
        <v/>
      </c>
      <c r="D175" s="205" t="str">
        <f>IFERROR(VLOOKUP($B175,'Institution Evaluation'!$A$55:$F$345,3,0),IFERROR(VLOOKUP($B175,'Privacy Analyst Evaluation'!$A$46:$F$120,3,0),""))&amp;""</f>
        <v/>
      </c>
      <c r="E175" s="205" t="str">
        <f>IFERROR(VLOOKUP($B175,'Institution Evaluation'!$A$55:$F$345,4,0),IFERROR(VLOOKUP($B175,'Privacy Analyst Evaluation'!$A$46:$F$120,4,0),""))&amp;""</f>
        <v/>
      </c>
      <c r="F175" s="205" t="str">
        <f>IFERROR(VLOOKUP($B175,'Institution Evaluation'!$A$55:$F$345,6,0),IFERROR(VLOOKUP($B175,'Privacy Analyst Evaluation'!$A$46:$F$120,6,0),""))&amp;""</f>
        <v/>
      </c>
      <c r="G175" s="206"/>
      <c r="H175" s="205" t="str">
        <f>IFERROR(IF($H174+1&gt;'(backend scoring)'!$Q$335,"",$H174+1),"")</f>
        <v/>
      </c>
      <c r="I175" s="205" t="str">
        <f>_xlfn.XLOOKUP($H175,'(backend scoring)'!$S$2:$S$333,'(backend scoring)'!$A$2:$A$333,"")</f>
        <v/>
      </c>
      <c r="J175" s="205" t="str">
        <f>IFERROR(VLOOKUP($I175,'Institution Evaluation'!$A$55:$F$345,2,0),IFERROR(VLOOKUP($I175,'Privacy Analyst Evaluation'!$A$46:$F$120,2,0),""))</f>
        <v/>
      </c>
      <c r="K175" s="205" t="str">
        <f>IFERROR(VLOOKUP($I175,'Institution Evaluation'!$A$55:$F$345,3,0),IFERROR(VLOOKUP($I175,'Privacy Analyst Evaluation'!$A$46:$F$120,3,0),""))&amp;""</f>
        <v/>
      </c>
      <c r="L175" s="205" t="str">
        <f>IFERROR(VLOOKUP($I175,'Institution Evaluation'!$A$55:$F$345,4,0),IFERROR(VLOOKUP($I175,'Privacy Analyst Evaluation'!$A$46:$F$120,4,0),""))&amp;""</f>
        <v/>
      </c>
      <c r="M175" s="205" t="str">
        <f>IFERROR(VLOOKUP($I175,'Institution Evaluation'!$A$55:$F$345,6,0),IFERROR(VLOOKUP($I175,'Privacy Analyst Evaluation'!$A$46:$F$120,6,0),""))&amp;""</f>
        <v/>
      </c>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row>
    <row r="176" spans="1:338" x14ac:dyDescent="0.3">
      <c r="A176" s="205" t="str">
        <f>IFERROR(IF($A175+1&gt;'(backend scoring)'!$T$335,"",$A175+1),"")</f>
        <v/>
      </c>
      <c r="B176" s="205" t="str">
        <f>_xlfn.XLOOKUP($A176,'(backend scoring)'!$V$2:$V$333,'(backend scoring)'!$A$2:$A$333,"")</f>
        <v/>
      </c>
      <c r="C176" s="205" t="str">
        <f>IFERROR(VLOOKUP($B176,'Institution Evaluation'!$A$55:$F$345,2,0),IFERROR(VLOOKUP($B176,'Privacy Analyst Evaluation'!$A$46:$F$120,2,0),""))&amp;""</f>
        <v/>
      </c>
      <c r="D176" s="205" t="str">
        <f>IFERROR(VLOOKUP($B176,'Institution Evaluation'!$A$55:$F$345,3,0),IFERROR(VLOOKUP($B176,'Privacy Analyst Evaluation'!$A$46:$F$120,3,0),""))&amp;""</f>
        <v/>
      </c>
      <c r="E176" s="205" t="str">
        <f>IFERROR(VLOOKUP($B176,'Institution Evaluation'!$A$55:$F$345,4,0),IFERROR(VLOOKUP($B176,'Privacy Analyst Evaluation'!$A$46:$F$120,4,0),""))&amp;""</f>
        <v/>
      </c>
      <c r="F176" s="205" t="str">
        <f>IFERROR(VLOOKUP($B176,'Institution Evaluation'!$A$55:$F$345,6,0),IFERROR(VLOOKUP($B176,'Privacy Analyst Evaluation'!$A$46:$F$120,6,0),""))&amp;""</f>
        <v/>
      </c>
      <c r="G176" s="206"/>
      <c r="H176" s="205" t="str">
        <f>IFERROR(IF($H175+1&gt;'(backend scoring)'!$Q$335,"",$H175+1),"")</f>
        <v/>
      </c>
      <c r="I176" s="205" t="str">
        <f>_xlfn.XLOOKUP($H176,'(backend scoring)'!$S$2:$S$333,'(backend scoring)'!$A$2:$A$333,"")</f>
        <v/>
      </c>
      <c r="J176" s="205" t="str">
        <f>IFERROR(VLOOKUP($I176,'Institution Evaluation'!$A$55:$F$345,2,0),IFERROR(VLOOKUP($I176,'Privacy Analyst Evaluation'!$A$46:$F$120,2,0),""))</f>
        <v/>
      </c>
      <c r="K176" s="205" t="str">
        <f>IFERROR(VLOOKUP($I176,'Institution Evaluation'!$A$55:$F$345,3,0),IFERROR(VLOOKUP($I176,'Privacy Analyst Evaluation'!$A$46:$F$120,3,0),""))&amp;""</f>
        <v/>
      </c>
      <c r="L176" s="205" t="str">
        <f>IFERROR(VLOOKUP($I176,'Institution Evaluation'!$A$55:$F$345,4,0),IFERROR(VLOOKUP($I176,'Privacy Analyst Evaluation'!$A$46:$F$120,4,0),""))&amp;""</f>
        <v/>
      </c>
      <c r="M176" s="205" t="str">
        <f>IFERROR(VLOOKUP($I176,'Institution Evaluation'!$A$55:$F$345,6,0),IFERROR(VLOOKUP($I176,'Privacy Analyst Evaluation'!$A$46:$F$120,6,0),""))&amp;""</f>
        <v/>
      </c>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row>
    <row r="177" spans="1:338" x14ac:dyDescent="0.3">
      <c r="A177" s="205" t="str">
        <f>IFERROR(IF($A176+1&gt;'(backend scoring)'!$T$335,"",$A176+1),"")</f>
        <v/>
      </c>
      <c r="B177" s="205" t="str">
        <f>_xlfn.XLOOKUP($A177,'(backend scoring)'!$V$2:$V$333,'(backend scoring)'!$A$2:$A$333,"")</f>
        <v/>
      </c>
      <c r="C177" s="205" t="str">
        <f>IFERROR(VLOOKUP($B177,'Institution Evaluation'!$A$55:$F$345,2,0),IFERROR(VLOOKUP($B177,'Privacy Analyst Evaluation'!$A$46:$F$120,2,0),""))&amp;""</f>
        <v/>
      </c>
      <c r="D177" s="205" t="str">
        <f>IFERROR(VLOOKUP($B177,'Institution Evaluation'!$A$55:$F$345,3,0),IFERROR(VLOOKUP($B177,'Privacy Analyst Evaluation'!$A$46:$F$120,3,0),""))&amp;""</f>
        <v/>
      </c>
      <c r="E177" s="205" t="str">
        <f>IFERROR(VLOOKUP($B177,'Institution Evaluation'!$A$55:$F$345,4,0),IFERROR(VLOOKUP($B177,'Privacy Analyst Evaluation'!$A$46:$F$120,4,0),""))&amp;""</f>
        <v/>
      </c>
      <c r="F177" s="205" t="str">
        <f>IFERROR(VLOOKUP($B177,'Institution Evaluation'!$A$55:$F$345,6,0),IFERROR(VLOOKUP($B177,'Privacy Analyst Evaluation'!$A$46:$F$120,6,0),""))&amp;""</f>
        <v/>
      </c>
      <c r="G177" s="206"/>
      <c r="H177" s="205" t="str">
        <f>IFERROR(IF($H176+1&gt;'(backend scoring)'!$Q$335,"",$H176+1),"")</f>
        <v/>
      </c>
      <c r="I177" s="205" t="str">
        <f>_xlfn.XLOOKUP($H177,'(backend scoring)'!$S$2:$S$333,'(backend scoring)'!$A$2:$A$333,"")</f>
        <v/>
      </c>
      <c r="J177" s="205" t="str">
        <f>IFERROR(VLOOKUP($I177,'Institution Evaluation'!$A$55:$F$345,2,0),IFERROR(VLOOKUP($I177,'Privacy Analyst Evaluation'!$A$46:$F$120,2,0),""))</f>
        <v/>
      </c>
      <c r="K177" s="205" t="str">
        <f>IFERROR(VLOOKUP($I177,'Institution Evaluation'!$A$55:$F$345,3,0),IFERROR(VLOOKUP($I177,'Privacy Analyst Evaluation'!$A$46:$F$120,3,0),""))&amp;""</f>
        <v/>
      </c>
      <c r="L177" s="205" t="str">
        <f>IFERROR(VLOOKUP($I177,'Institution Evaluation'!$A$55:$F$345,4,0),IFERROR(VLOOKUP($I177,'Privacy Analyst Evaluation'!$A$46:$F$120,4,0),""))&amp;""</f>
        <v/>
      </c>
      <c r="M177" s="205" t="str">
        <f>IFERROR(VLOOKUP($I177,'Institution Evaluation'!$A$55:$F$345,6,0),IFERROR(VLOOKUP($I177,'Privacy Analyst Evaluation'!$A$46:$F$120,6,0),""))&amp;""</f>
        <v/>
      </c>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row>
    <row r="178" spans="1:338" x14ac:dyDescent="0.3">
      <c r="A178" s="205" t="str">
        <f>IFERROR(IF($A177+1&gt;'(backend scoring)'!$T$335,"",$A177+1),"")</f>
        <v/>
      </c>
      <c r="B178" s="205" t="str">
        <f>_xlfn.XLOOKUP($A178,'(backend scoring)'!$V$2:$V$333,'(backend scoring)'!$A$2:$A$333,"")</f>
        <v/>
      </c>
      <c r="C178" s="205" t="str">
        <f>IFERROR(VLOOKUP($B178,'Institution Evaluation'!$A$55:$F$345,2,0),IFERROR(VLOOKUP($B178,'Privacy Analyst Evaluation'!$A$46:$F$120,2,0),""))&amp;""</f>
        <v/>
      </c>
      <c r="D178" s="205" t="str">
        <f>IFERROR(VLOOKUP($B178,'Institution Evaluation'!$A$55:$F$345,3,0),IFERROR(VLOOKUP($B178,'Privacy Analyst Evaluation'!$A$46:$F$120,3,0),""))&amp;""</f>
        <v/>
      </c>
      <c r="E178" s="205" t="str">
        <f>IFERROR(VLOOKUP($B178,'Institution Evaluation'!$A$55:$F$345,4,0),IFERROR(VLOOKUP($B178,'Privacy Analyst Evaluation'!$A$46:$F$120,4,0),""))&amp;""</f>
        <v/>
      </c>
      <c r="F178" s="205" t="str">
        <f>IFERROR(VLOOKUP($B178,'Institution Evaluation'!$A$55:$F$345,6,0),IFERROR(VLOOKUP($B178,'Privacy Analyst Evaluation'!$A$46:$F$120,6,0),""))&amp;""</f>
        <v/>
      </c>
      <c r="G178" s="206"/>
      <c r="H178" s="205" t="str">
        <f>IFERROR(IF($H177+1&gt;'(backend scoring)'!$Q$335,"",$H177+1),"")</f>
        <v/>
      </c>
      <c r="I178" s="205" t="str">
        <f>_xlfn.XLOOKUP($H178,'(backend scoring)'!$S$2:$S$333,'(backend scoring)'!$A$2:$A$333,"")</f>
        <v/>
      </c>
      <c r="J178" s="205" t="str">
        <f>IFERROR(VLOOKUP($I178,'Institution Evaluation'!$A$55:$F$345,2,0),IFERROR(VLOOKUP($I178,'Privacy Analyst Evaluation'!$A$46:$F$120,2,0),""))</f>
        <v/>
      </c>
      <c r="K178" s="205" t="str">
        <f>IFERROR(VLOOKUP($I178,'Institution Evaluation'!$A$55:$F$345,3,0),IFERROR(VLOOKUP($I178,'Privacy Analyst Evaluation'!$A$46:$F$120,3,0),""))&amp;""</f>
        <v/>
      </c>
      <c r="L178" s="205" t="str">
        <f>IFERROR(VLOOKUP($I178,'Institution Evaluation'!$A$55:$F$345,4,0),IFERROR(VLOOKUP($I178,'Privacy Analyst Evaluation'!$A$46:$F$120,4,0),""))&amp;""</f>
        <v/>
      </c>
      <c r="M178" s="205" t="str">
        <f>IFERROR(VLOOKUP($I178,'Institution Evaluation'!$A$55:$F$345,6,0),IFERROR(VLOOKUP($I178,'Privacy Analyst Evaluation'!$A$46:$F$120,6,0),""))&amp;""</f>
        <v/>
      </c>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row>
    <row r="179" spans="1:338" x14ac:dyDescent="0.3">
      <c r="A179" s="205" t="str">
        <f>IFERROR(IF($A178+1&gt;'(backend scoring)'!$T$335,"",$A178+1),"")</f>
        <v/>
      </c>
      <c r="B179" s="205" t="str">
        <f>_xlfn.XLOOKUP($A179,'(backend scoring)'!$V$2:$V$333,'(backend scoring)'!$A$2:$A$333,"")</f>
        <v/>
      </c>
      <c r="C179" s="205" t="str">
        <f>IFERROR(VLOOKUP($B179,'Institution Evaluation'!$A$55:$F$345,2,0),IFERROR(VLOOKUP($B179,'Privacy Analyst Evaluation'!$A$46:$F$120,2,0),""))&amp;""</f>
        <v/>
      </c>
      <c r="D179" s="205" t="str">
        <f>IFERROR(VLOOKUP($B179,'Institution Evaluation'!$A$55:$F$345,3,0),IFERROR(VLOOKUP($B179,'Privacy Analyst Evaluation'!$A$46:$F$120,3,0),""))&amp;""</f>
        <v/>
      </c>
      <c r="E179" s="205" t="str">
        <f>IFERROR(VLOOKUP($B179,'Institution Evaluation'!$A$55:$F$345,4,0),IFERROR(VLOOKUP($B179,'Privacy Analyst Evaluation'!$A$46:$F$120,4,0),""))&amp;""</f>
        <v/>
      </c>
      <c r="F179" s="205" t="str">
        <f>IFERROR(VLOOKUP($B179,'Institution Evaluation'!$A$55:$F$345,6,0),IFERROR(VLOOKUP($B179,'Privacy Analyst Evaluation'!$A$46:$F$120,6,0),""))&amp;""</f>
        <v/>
      </c>
      <c r="G179" s="206"/>
      <c r="H179" s="205" t="str">
        <f>IFERROR(IF($H178+1&gt;'(backend scoring)'!$Q$335,"",$H178+1),"")</f>
        <v/>
      </c>
      <c r="I179" s="205" t="str">
        <f>_xlfn.XLOOKUP($H179,'(backend scoring)'!$S$2:$S$333,'(backend scoring)'!$A$2:$A$333,"")</f>
        <v/>
      </c>
      <c r="J179" s="205" t="str">
        <f>IFERROR(VLOOKUP($I179,'Institution Evaluation'!$A$55:$F$345,2,0),IFERROR(VLOOKUP($I179,'Privacy Analyst Evaluation'!$A$46:$F$120,2,0),""))</f>
        <v/>
      </c>
      <c r="K179" s="205" t="str">
        <f>IFERROR(VLOOKUP($I179,'Institution Evaluation'!$A$55:$F$345,3,0),IFERROR(VLOOKUP($I179,'Privacy Analyst Evaluation'!$A$46:$F$120,3,0),""))&amp;""</f>
        <v/>
      </c>
      <c r="L179" s="205" t="str">
        <f>IFERROR(VLOOKUP($I179,'Institution Evaluation'!$A$55:$F$345,4,0),IFERROR(VLOOKUP($I179,'Privacy Analyst Evaluation'!$A$46:$F$120,4,0),""))&amp;""</f>
        <v/>
      </c>
      <c r="M179" s="205" t="str">
        <f>IFERROR(VLOOKUP($I179,'Institution Evaluation'!$A$55:$F$345,6,0),IFERROR(VLOOKUP($I179,'Privacy Analyst Evaluation'!$A$46:$F$120,6,0),""))&amp;""</f>
        <v/>
      </c>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row>
    <row r="180" spans="1:338" x14ac:dyDescent="0.3">
      <c r="A180" s="205" t="str">
        <f>IFERROR(IF($A179+1&gt;'(backend scoring)'!$T$335,"",$A179+1),"")</f>
        <v/>
      </c>
      <c r="B180" s="205" t="str">
        <f>_xlfn.XLOOKUP($A180,'(backend scoring)'!$V$2:$V$333,'(backend scoring)'!$A$2:$A$333,"")</f>
        <v/>
      </c>
      <c r="C180" s="205" t="str">
        <f>IFERROR(VLOOKUP($B180,'Institution Evaluation'!$A$55:$F$345,2,0),IFERROR(VLOOKUP($B180,'Privacy Analyst Evaluation'!$A$46:$F$120,2,0),""))&amp;""</f>
        <v/>
      </c>
      <c r="D180" s="205" t="str">
        <f>IFERROR(VLOOKUP($B180,'Institution Evaluation'!$A$55:$F$345,3,0),IFERROR(VLOOKUP($B180,'Privacy Analyst Evaluation'!$A$46:$F$120,3,0),""))&amp;""</f>
        <v/>
      </c>
      <c r="E180" s="205" t="str">
        <f>IFERROR(VLOOKUP($B180,'Institution Evaluation'!$A$55:$F$345,4,0),IFERROR(VLOOKUP($B180,'Privacy Analyst Evaluation'!$A$46:$F$120,4,0),""))&amp;""</f>
        <v/>
      </c>
      <c r="F180" s="205" t="str">
        <f>IFERROR(VLOOKUP($B180,'Institution Evaluation'!$A$55:$F$345,6,0),IFERROR(VLOOKUP($B180,'Privacy Analyst Evaluation'!$A$46:$F$120,6,0),""))&amp;""</f>
        <v/>
      </c>
      <c r="G180" s="206"/>
      <c r="H180" s="205" t="str">
        <f>IFERROR(IF($H179+1&gt;'(backend scoring)'!$Q$335,"",$H179+1),"")</f>
        <v/>
      </c>
      <c r="I180" s="205" t="str">
        <f>_xlfn.XLOOKUP($H180,'(backend scoring)'!$S$2:$S$333,'(backend scoring)'!$A$2:$A$333,"")</f>
        <v/>
      </c>
      <c r="J180" s="205" t="str">
        <f>IFERROR(VLOOKUP($I180,'Institution Evaluation'!$A$55:$F$345,2,0),IFERROR(VLOOKUP($I180,'Privacy Analyst Evaluation'!$A$46:$F$120,2,0),""))</f>
        <v/>
      </c>
      <c r="K180" s="205" t="str">
        <f>IFERROR(VLOOKUP($I180,'Institution Evaluation'!$A$55:$F$345,3,0),IFERROR(VLOOKUP($I180,'Privacy Analyst Evaluation'!$A$46:$F$120,3,0),""))&amp;""</f>
        <v/>
      </c>
      <c r="L180" s="205" t="str">
        <f>IFERROR(VLOOKUP($I180,'Institution Evaluation'!$A$55:$F$345,4,0),IFERROR(VLOOKUP($I180,'Privacy Analyst Evaluation'!$A$46:$F$120,4,0),""))&amp;""</f>
        <v/>
      </c>
      <c r="M180" s="205" t="str">
        <f>IFERROR(VLOOKUP($I180,'Institution Evaluation'!$A$55:$F$345,6,0),IFERROR(VLOOKUP($I180,'Privacy Analyst Evaluation'!$A$46:$F$120,6,0),""))&amp;""</f>
        <v/>
      </c>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row>
    <row r="181" spans="1:338" x14ac:dyDescent="0.3">
      <c r="A181" s="205" t="str">
        <f>IFERROR(IF($A180+1&gt;'(backend scoring)'!$T$335,"",$A180+1),"")</f>
        <v/>
      </c>
      <c r="B181" s="205" t="str">
        <f>_xlfn.XLOOKUP($A181,'(backend scoring)'!$V$2:$V$333,'(backend scoring)'!$A$2:$A$333,"")</f>
        <v/>
      </c>
      <c r="C181" s="205" t="str">
        <f>IFERROR(VLOOKUP($B181,'Institution Evaluation'!$A$55:$F$345,2,0),IFERROR(VLOOKUP($B181,'Privacy Analyst Evaluation'!$A$46:$F$120,2,0),""))&amp;""</f>
        <v/>
      </c>
      <c r="D181" s="205" t="str">
        <f>IFERROR(VLOOKUP($B181,'Institution Evaluation'!$A$55:$F$345,3,0),IFERROR(VLOOKUP($B181,'Privacy Analyst Evaluation'!$A$46:$F$120,3,0),""))&amp;""</f>
        <v/>
      </c>
      <c r="E181" s="205" t="str">
        <f>IFERROR(VLOOKUP($B181,'Institution Evaluation'!$A$55:$F$345,4,0),IFERROR(VLOOKUP($B181,'Privacy Analyst Evaluation'!$A$46:$F$120,4,0),""))&amp;""</f>
        <v/>
      </c>
      <c r="F181" s="205" t="str">
        <f>IFERROR(VLOOKUP($B181,'Institution Evaluation'!$A$55:$F$345,6,0),IFERROR(VLOOKUP($B181,'Privacy Analyst Evaluation'!$A$46:$F$120,6,0),""))&amp;""</f>
        <v/>
      </c>
      <c r="G181" s="206"/>
      <c r="H181" s="205" t="str">
        <f>IFERROR(IF($H180+1&gt;'(backend scoring)'!$Q$335,"",$H180+1),"")</f>
        <v/>
      </c>
      <c r="I181" s="205" t="str">
        <f>_xlfn.XLOOKUP($H181,'(backend scoring)'!$S$2:$S$333,'(backend scoring)'!$A$2:$A$333,"")</f>
        <v/>
      </c>
      <c r="J181" s="205" t="str">
        <f>IFERROR(VLOOKUP($I181,'Institution Evaluation'!$A$55:$F$345,2,0),IFERROR(VLOOKUP($I181,'Privacy Analyst Evaluation'!$A$46:$F$120,2,0),""))</f>
        <v/>
      </c>
      <c r="K181" s="205" t="str">
        <f>IFERROR(VLOOKUP($I181,'Institution Evaluation'!$A$55:$F$345,3,0),IFERROR(VLOOKUP($I181,'Privacy Analyst Evaluation'!$A$46:$F$120,3,0),""))&amp;""</f>
        <v/>
      </c>
      <c r="L181" s="205" t="str">
        <f>IFERROR(VLOOKUP($I181,'Institution Evaluation'!$A$55:$F$345,4,0),IFERROR(VLOOKUP($I181,'Privacy Analyst Evaluation'!$A$46:$F$120,4,0),""))&amp;""</f>
        <v/>
      </c>
      <c r="M181" s="205" t="str">
        <f>IFERROR(VLOOKUP($I181,'Institution Evaluation'!$A$55:$F$345,6,0),IFERROR(VLOOKUP($I181,'Privacy Analyst Evaluation'!$A$46:$F$120,6,0),""))&amp;""</f>
        <v/>
      </c>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row>
    <row r="182" spans="1:338" x14ac:dyDescent="0.3">
      <c r="A182" s="205" t="str">
        <f>IFERROR(IF($A181+1&gt;'(backend scoring)'!$T$335,"",$A181+1),"")</f>
        <v/>
      </c>
      <c r="B182" s="205" t="str">
        <f>_xlfn.XLOOKUP($A182,'(backend scoring)'!$V$2:$V$333,'(backend scoring)'!$A$2:$A$333,"")</f>
        <v/>
      </c>
      <c r="C182" s="205" t="str">
        <f>IFERROR(VLOOKUP($B182,'Institution Evaluation'!$A$55:$F$345,2,0),IFERROR(VLOOKUP($B182,'Privacy Analyst Evaluation'!$A$46:$F$120,2,0),""))&amp;""</f>
        <v/>
      </c>
      <c r="D182" s="205" t="str">
        <f>IFERROR(VLOOKUP($B182,'Institution Evaluation'!$A$55:$F$345,3,0),IFERROR(VLOOKUP($B182,'Privacy Analyst Evaluation'!$A$46:$F$120,3,0),""))&amp;""</f>
        <v/>
      </c>
      <c r="E182" s="205" t="str">
        <f>IFERROR(VLOOKUP($B182,'Institution Evaluation'!$A$55:$F$345,4,0),IFERROR(VLOOKUP($B182,'Privacy Analyst Evaluation'!$A$46:$F$120,4,0),""))&amp;""</f>
        <v/>
      </c>
      <c r="F182" s="205" t="str">
        <f>IFERROR(VLOOKUP($B182,'Institution Evaluation'!$A$55:$F$345,6,0),IFERROR(VLOOKUP($B182,'Privacy Analyst Evaluation'!$A$46:$F$120,6,0),""))&amp;""</f>
        <v/>
      </c>
      <c r="G182" s="206"/>
      <c r="H182" s="205" t="str">
        <f>IFERROR(IF($H181+1&gt;'(backend scoring)'!$Q$335,"",$H181+1),"")</f>
        <v/>
      </c>
      <c r="I182" s="205" t="str">
        <f>_xlfn.XLOOKUP($H182,'(backend scoring)'!$S$2:$S$333,'(backend scoring)'!$A$2:$A$333,"")</f>
        <v/>
      </c>
      <c r="J182" s="205" t="str">
        <f>IFERROR(VLOOKUP($I182,'Institution Evaluation'!$A$55:$F$345,2,0),IFERROR(VLOOKUP($I182,'Privacy Analyst Evaluation'!$A$46:$F$120,2,0),""))</f>
        <v/>
      </c>
      <c r="K182" s="205" t="str">
        <f>IFERROR(VLOOKUP($I182,'Institution Evaluation'!$A$55:$F$345,3,0),IFERROR(VLOOKUP($I182,'Privacy Analyst Evaluation'!$A$46:$F$120,3,0),""))&amp;""</f>
        <v/>
      </c>
      <c r="L182" s="205" t="str">
        <f>IFERROR(VLOOKUP($I182,'Institution Evaluation'!$A$55:$F$345,4,0),IFERROR(VLOOKUP($I182,'Privacy Analyst Evaluation'!$A$46:$F$120,4,0),""))&amp;""</f>
        <v/>
      </c>
      <c r="M182" s="205" t="str">
        <f>IFERROR(VLOOKUP($I182,'Institution Evaluation'!$A$55:$F$345,6,0),IFERROR(VLOOKUP($I182,'Privacy Analyst Evaluation'!$A$46:$F$120,6,0),""))&amp;""</f>
        <v/>
      </c>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row>
    <row r="183" spans="1:338" x14ac:dyDescent="0.3">
      <c r="A183" s="205" t="str">
        <f>IFERROR(IF($A182+1&gt;'(backend scoring)'!$T$335,"",$A182+1),"")</f>
        <v/>
      </c>
      <c r="B183" s="205" t="str">
        <f>_xlfn.XLOOKUP($A183,'(backend scoring)'!$V$2:$V$333,'(backend scoring)'!$A$2:$A$333,"")</f>
        <v/>
      </c>
      <c r="C183" s="205" t="str">
        <f>IFERROR(VLOOKUP($B183,'Institution Evaluation'!$A$55:$F$345,2,0),IFERROR(VLOOKUP($B183,'Privacy Analyst Evaluation'!$A$46:$F$120,2,0),""))&amp;""</f>
        <v/>
      </c>
      <c r="D183" s="205" t="str">
        <f>IFERROR(VLOOKUP($B183,'Institution Evaluation'!$A$55:$F$345,3,0),IFERROR(VLOOKUP($B183,'Privacy Analyst Evaluation'!$A$46:$F$120,3,0),""))&amp;""</f>
        <v/>
      </c>
      <c r="E183" s="205" t="str">
        <f>IFERROR(VLOOKUP($B183,'Institution Evaluation'!$A$55:$F$345,4,0),IFERROR(VLOOKUP($B183,'Privacy Analyst Evaluation'!$A$46:$F$120,4,0),""))&amp;""</f>
        <v/>
      </c>
      <c r="F183" s="205" t="str">
        <f>IFERROR(VLOOKUP($B183,'Institution Evaluation'!$A$55:$F$345,6,0),IFERROR(VLOOKUP($B183,'Privacy Analyst Evaluation'!$A$46:$F$120,6,0),""))&amp;""</f>
        <v/>
      </c>
      <c r="G183" s="206"/>
      <c r="H183" s="205" t="str">
        <f>IFERROR(IF($H182+1&gt;'(backend scoring)'!$Q$335,"",$H182+1),"")</f>
        <v/>
      </c>
      <c r="I183" s="205" t="str">
        <f>_xlfn.XLOOKUP($H183,'(backend scoring)'!$S$2:$S$333,'(backend scoring)'!$A$2:$A$333,"")</f>
        <v/>
      </c>
      <c r="J183" s="205" t="str">
        <f>IFERROR(VLOOKUP($I183,'Institution Evaluation'!$A$55:$F$345,2,0),IFERROR(VLOOKUP($I183,'Privacy Analyst Evaluation'!$A$46:$F$120,2,0),""))</f>
        <v/>
      </c>
      <c r="K183" s="205" t="str">
        <f>IFERROR(VLOOKUP($I183,'Institution Evaluation'!$A$55:$F$345,3,0),IFERROR(VLOOKUP($I183,'Privacy Analyst Evaluation'!$A$46:$F$120,3,0),""))&amp;""</f>
        <v/>
      </c>
      <c r="L183" s="205" t="str">
        <f>IFERROR(VLOOKUP($I183,'Institution Evaluation'!$A$55:$F$345,4,0),IFERROR(VLOOKUP($I183,'Privacy Analyst Evaluation'!$A$46:$F$120,4,0),""))&amp;""</f>
        <v/>
      </c>
      <c r="M183" s="205" t="str">
        <f>IFERROR(VLOOKUP($I183,'Institution Evaluation'!$A$55:$F$345,6,0),IFERROR(VLOOKUP($I183,'Privacy Analyst Evaluation'!$A$46:$F$120,6,0),""))&amp;""</f>
        <v/>
      </c>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row>
    <row r="184" spans="1:338" x14ac:dyDescent="0.3">
      <c r="A184" s="205" t="str">
        <f>IFERROR(IF($A183+1&gt;'(backend scoring)'!$T$335,"",$A183+1),"")</f>
        <v/>
      </c>
      <c r="B184" s="205" t="str">
        <f>_xlfn.XLOOKUP($A184,'(backend scoring)'!$V$2:$V$333,'(backend scoring)'!$A$2:$A$333,"")</f>
        <v/>
      </c>
      <c r="C184" s="205" t="str">
        <f>IFERROR(VLOOKUP($B184,'Institution Evaluation'!$A$55:$F$345,2,0),IFERROR(VLOOKUP($B184,'Privacy Analyst Evaluation'!$A$46:$F$120,2,0),""))&amp;""</f>
        <v/>
      </c>
      <c r="D184" s="205" t="str">
        <f>IFERROR(VLOOKUP($B184,'Institution Evaluation'!$A$55:$F$345,3,0),IFERROR(VLOOKUP($B184,'Privacy Analyst Evaluation'!$A$46:$F$120,3,0),""))&amp;""</f>
        <v/>
      </c>
      <c r="E184" s="205" t="str">
        <f>IFERROR(VLOOKUP($B184,'Institution Evaluation'!$A$55:$F$345,4,0),IFERROR(VLOOKUP($B184,'Privacy Analyst Evaluation'!$A$46:$F$120,4,0),""))&amp;""</f>
        <v/>
      </c>
      <c r="F184" s="205" t="str">
        <f>IFERROR(VLOOKUP($B184,'Institution Evaluation'!$A$55:$F$345,6,0),IFERROR(VLOOKUP($B184,'Privacy Analyst Evaluation'!$A$46:$F$120,6,0),""))&amp;""</f>
        <v/>
      </c>
      <c r="G184" s="206"/>
      <c r="H184" s="205" t="str">
        <f>IFERROR(IF($H183+1&gt;'(backend scoring)'!$Q$335,"",$H183+1),"")</f>
        <v/>
      </c>
      <c r="I184" s="205" t="str">
        <f>_xlfn.XLOOKUP($H184,'(backend scoring)'!$S$2:$S$333,'(backend scoring)'!$A$2:$A$333,"")</f>
        <v/>
      </c>
      <c r="J184" s="205" t="str">
        <f>IFERROR(VLOOKUP($I184,'Institution Evaluation'!$A$55:$F$345,2,0),IFERROR(VLOOKUP($I184,'Privacy Analyst Evaluation'!$A$46:$F$120,2,0),""))</f>
        <v/>
      </c>
      <c r="K184" s="205" t="str">
        <f>IFERROR(VLOOKUP($I184,'Institution Evaluation'!$A$55:$F$345,3,0),IFERROR(VLOOKUP($I184,'Privacy Analyst Evaluation'!$A$46:$F$120,3,0),""))&amp;""</f>
        <v/>
      </c>
      <c r="L184" s="205" t="str">
        <f>IFERROR(VLOOKUP($I184,'Institution Evaluation'!$A$55:$F$345,4,0),IFERROR(VLOOKUP($I184,'Privacy Analyst Evaluation'!$A$46:$F$120,4,0),""))&amp;""</f>
        <v/>
      </c>
      <c r="M184" s="205" t="str">
        <f>IFERROR(VLOOKUP($I184,'Institution Evaluation'!$A$55:$F$345,6,0),IFERROR(VLOOKUP($I184,'Privacy Analyst Evaluation'!$A$46:$F$120,6,0),""))&amp;""</f>
        <v/>
      </c>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row>
    <row r="185" spans="1:338" x14ac:dyDescent="0.3">
      <c r="A185" s="205" t="str">
        <f>IFERROR(IF($A184+1&gt;'(backend scoring)'!$T$335,"",$A184+1),"")</f>
        <v/>
      </c>
      <c r="B185" s="205" t="str">
        <f>_xlfn.XLOOKUP($A185,'(backend scoring)'!$V$2:$V$333,'(backend scoring)'!$A$2:$A$333,"")</f>
        <v/>
      </c>
      <c r="C185" s="205" t="str">
        <f>IFERROR(VLOOKUP($B185,'Institution Evaluation'!$A$55:$F$345,2,0),IFERROR(VLOOKUP($B185,'Privacy Analyst Evaluation'!$A$46:$F$120,2,0),""))&amp;""</f>
        <v/>
      </c>
      <c r="D185" s="205" t="str">
        <f>IFERROR(VLOOKUP($B185,'Institution Evaluation'!$A$55:$F$345,3,0),IFERROR(VLOOKUP($B185,'Privacy Analyst Evaluation'!$A$46:$F$120,3,0),""))&amp;""</f>
        <v/>
      </c>
      <c r="E185" s="205" t="str">
        <f>IFERROR(VLOOKUP($B185,'Institution Evaluation'!$A$55:$F$345,4,0),IFERROR(VLOOKUP($B185,'Privacy Analyst Evaluation'!$A$46:$F$120,4,0),""))&amp;""</f>
        <v/>
      </c>
      <c r="F185" s="205" t="str">
        <f>IFERROR(VLOOKUP($B185,'Institution Evaluation'!$A$55:$F$345,6,0),IFERROR(VLOOKUP($B185,'Privacy Analyst Evaluation'!$A$46:$F$120,6,0),""))&amp;""</f>
        <v/>
      </c>
      <c r="G185" s="206"/>
      <c r="H185" s="205" t="str">
        <f>IFERROR(IF($H184+1&gt;'(backend scoring)'!$Q$335,"",$H184+1),"")</f>
        <v/>
      </c>
      <c r="I185" s="205" t="str">
        <f>_xlfn.XLOOKUP($H185,'(backend scoring)'!$S$2:$S$333,'(backend scoring)'!$A$2:$A$333,"")</f>
        <v/>
      </c>
      <c r="J185" s="205" t="str">
        <f>IFERROR(VLOOKUP($I185,'Institution Evaluation'!$A$55:$F$345,2,0),IFERROR(VLOOKUP($I185,'Privacy Analyst Evaluation'!$A$46:$F$120,2,0),""))</f>
        <v/>
      </c>
      <c r="K185" s="205" t="str">
        <f>IFERROR(VLOOKUP($I185,'Institution Evaluation'!$A$55:$F$345,3,0),IFERROR(VLOOKUP($I185,'Privacy Analyst Evaluation'!$A$46:$F$120,3,0),""))&amp;""</f>
        <v/>
      </c>
      <c r="L185" s="205" t="str">
        <f>IFERROR(VLOOKUP($I185,'Institution Evaluation'!$A$55:$F$345,4,0),IFERROR(VLOOKUP($I185,'Privacy Analyst Evaluation'!$A$46:$F$120,4,0),""))&amp;""</f>
        <v/>
      </c>
      <c r="M185" s="205" t="str">
        <f>IFERROR(VLOOKUP($I185,'Institution Evaluation'!$A$55:$F$345,6,0),IFERROR(VLOOKUP($I185,'Privacy Analyst Evaluation'!$A$46:$F$120,6,0),""))&amp;""</f>
        <v/>
      </c>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row>
    <row r="186" spans="1:338" x14ac:dyDescent="0.3">
      <c r="A186" s="205" t="str">
        <f>IFERROR(IF($A185+1&gt;'(backend scoring)'!$T$335,"",$A185+1),"")</f>
        <v/>
      </c>
      <c r="B186" s="205" t="str">
        <f>_xlfn.XLOOKUP($A186,'(backend scoring)'!$V$2:$V$333,'(backend scoring)'!$A$2:$A$333,"")</f>
        <v/>
      </c>
      <c r="C186" s="205" t="str">
        <f>IFERROR(VLOOKUP($B186,'Institution Evaluation'!$A$55:$F$345,2,0),IFERROR(VLOOKUP($B186,'Privacy Analyst Evaluation'!$A$46:$F$120,2,0),""))&amp;""</f>
        <v/>
      </c>
      <c r="D186" s="205" t="str">
        <f>IFERROR(VLOOKUP($B186,'Institution Evaluation'!$A$55:$F$345,3,0),IFERROR(VLOOKUP($B186,'Privacy Analyst Evaluation'!$A$46:$F$120,3,0),""))&amp;""</f>
        <v/>
      </c>
      <c r="E186" s="205" t="str">
        <f>IFERROR(VLOOKUP($B186,'Institution Evaluation'!$A$55:$F$345,4,0),IFERROR(VLOOKUP($B186,'Privacy Analyst Evaluation'!$A$46:$F$120,4,0),""))&amp;""</f>
        <v/>
      </c>
      <c r="F186" s="205" t="str">
        <f>IFERROR(VLOOKUP($B186,'Institution Evaluation'!$A$55:$F$345,6,0),IFERROR(VLOOKUP($B186,'Privacy Analyst Evaluation'!$A$46:$F$120,6,0),""))&amp;""</f>
        <v/>
      </c>
      <c r="G186" s="206"/>
      <c r="H186" s="205" t="str">
        <f>IFERROR(IF($H185+1&gt;'(backend scoring)'!$Q$335,"",$H185+1),"")</f>
        <v/>
      </c>
      <c r="I186" s="205" t="str">
        <f>_xlfn.XLOOKUP($H186,'(backend scoring)'!$S$2:$S$333,'(backend scoring)'!$A$2:$A$333,"")</f>
        <v/>
      </c>
      <c r="J186" s="205" t="str">
        <f>IFERROR(VLOOKUP($I186,'Institution Evaluation'!$A$55:$F$345,2,0),IFERROR(VLOOKUP($I186,'Privacy Analyst Evaluation'!$A$46:$F$120,2,0),""))</f>
        <v/>
      </c>
      <c r="K186" s="205" t="str">
        <f>IFERROR(VLOOKUP($I186,'Institution Evaluation'!$A$55:$F$345,3,0),IFERROR(VLOOKUP($I186,'Privacy Analyst Evaluation'!$A$46:$F$120,3,0),""))&amp;""</f>
        <v/>
      </c>
      <c r="L186" s="205" t="str">
        <f>IFERROR(VLOOKUP($I186,'Institution Evaluation'!$A$55:$F$345,4,0),IFERROR(VLOOKUP($I186,'Privacy Analyst Evaluation'!$A$46:$F$120,4,0),""))&amp;""</f>
        <v/>
      </c>
      <c r="M186" s="205" t="str">
        <f>IFERROR(VLOOKUP($I186,'Institution Evaluation'!$A$55:$F$345,6,0),IFERROR(VLOOKUP($I186,'Privacy Analyst Evaluation'!$A$46:$F$120,6,0),""))&amp;""</f>
        <v/>
      </c>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row>
    <row r="187" spans="1:338" x14ac:dyDescent="0.3">
      <c r="A187" s="205" t="str">
        <f>IFERROR(IF($A186+1&gt;'(backend scoring)'!$T$335,"",$A186+1),"")</f>
        <v/>
      </c>
      <c r="B187" s="205" t="str">
        <f>_xlfn.XLOOKUP($A187,'(backend scoring)'!$V$2:$V$333,'(backend scoring)'!$A$2:$A$333,"")</f>
        <v/>
      </c>
      <c r="C187" s="205" t="str">
        <f>IFERROR(VLOOKUP($B187,'Institution Evaluation'!$A$55:$F$345,2,0),IFERROR(VLOOKUP($B187,'Privacy Analyst Evaluation'!$A$46:$F$120,2,0),""))&amp;""</f>
        <v/>
      </c>
      <c r="D187" s="205" t="str">
        <f>IFERROR(VLOOKUP($B187,'Institution Evaluation'!$A$55:$F$345,3,0),IFERROR(VLOOKUP($B187,'Privacy Analyst Evaluation'!$A$46:$F$120,3,0),""))&amp;""</f>
        <v/>
      </c>
      <c r="E187" s="205" t="str">
        <f>IFERROR(VLOOKUP($B187,'Institution Evaluation'!$A$55:$F$345,4,0),IFERROR(VLOOKUP($B187,'Privacy Analyst Evaluation'!$A$46:$F$120,4,0),""))&amp;""</f>
        <v/>
      </c>
      <c r="F187" s="205" t="str">
        <f>IFERROR(VLOOKUP($B187,'Institution Evaluation'!$A$55:$F$345,6,0),IFERROR(VLOOKUP($B187,'Privacy Analyst Evaluation'!$A$46:$F$120,6,0),""))&amp;""</f>
        <v/>
      </c>
      <c r="G187" s="206"/>
      <c r="H187" s="205" t="str">
        <f>IFERROR(IF($H186+1&gt;'(backend scoring)'!$Q$335,"",$H186+1),"")</f>
        <v/>
      </c>
      <c r="I187" s="205" t="str">
        <f>_xlfn.XLOOKUP($H187,'(backend scoring)'!$S$2:$S$333,'(backend scoring)'!$A$2:$A$333,"")</f>
        <v/>
      </c>
      <c r="J187" s="205" t="str">
        <f>IFERROR(VLOOKUP($I187,'Institution Evaluation'!$A$55:$F$345,2,0),IFERROR(VLOOKUP($I187,'Privacy Analyst Evaluation'!$A$46:$F$120,2,0),""))</f>
        <v/>
      </c>
      <c r="K187" s="205" t="str">
        <f>IFERROR(VLOOKUP($I187,'Institution Evaluation'!$A$55:$F$345,3,0),IFERROR(VLOOKUP($I187,'Privacy Analyst Evaluation'!$A$46:$F$120,3,0),""))&amp;""</f>
        <v/>
      </c>
      <c r="L187" s="205" t="str">
        <f>IFERROR(VLOOKUP($I187,'Institution Evaluation'!$A$55:$F$345,4,0),IFERROR(VLOOKUP($I187,'Privacy Analyst Evaluation'!$A$46:$F$120,4,0),""))&amp;""</f>
        <v/>
      </c>
      <c r="M187" s="205" t="str">
        <f>IFERROR(VLOOKUP($I187,'Institution Evaluation'!$A$55:$F$345,6,0),IFERROR(VLOOKUP($I187,'Privacy Analyst Evaluation'!$A$46:$F$120,6,0),""))&amp;""</f>
        <v/>
      </c>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row>
    <row r="188" spans="1:338" x14ac:dyDescent="0.3">
      <c r="A188" s="205" t="str">
        <f>IFERROR(IF($A187+1&gt;'(backend scoring)'!$T$335,"",$A187+1),"")</f>
        <v/>
      </c>
      <c r="B188" s="205" t="str">
        <f>_xlfn.XLOOKUP($A188,'(backend scoring)'!$V$2:$V$333,'(backend scoring)'!$A$2:$A$333,"")</f>
        <v/>
      </c>
      <c r="C188" s="205" t="str">
        <f>IFERROR(VLOOKUP($B188,'Institution Evaluation'!$A$55:$F$345,2,0),IFERROR(VLOOKUP($B188,'Privacy Analyst Evaluation'!$A$46:$F$120,2,0),""))&amp;""</f>
        <v/>
      </c>
      <c r="D188" s="205" t="str">
        <f>IFERROR(VLOOKUP($B188,'Institution Evaluation'!$A$55:$F$345,3,0),IFERROR(VLOOKUP($B188,'Privacy Analyst Evaluation'!$A$46:$F$120,3,0),""))&amp;""</f>
        <v/>
      </c>
      <c r="E188" s="205" t="str">
        <f>IFERROR(VLOOKUP($B188,'Institution Evaluation'!$A$55:$F$345,4,0),IFERROR(VLOOKUP($B188,'Privacy Analyst Evaluation'!$A$46:$F$120,4,0),""))&amp;""</f>
        <v/>
      </c>
      <c r="F188" s="205" t="str">
        <f>IFERROR(VLOOKUP($B188,'Institution Evaluation'!$A$55:$F$345,6,0),IFERROR(VLOOKUP($B188,'Privacy Analyst Evaluation'!$A$46:$F$120,6,0),""))&amp;""</f>
        <v/>
      </c>
      <c r="G188" s="206"/>
      <c r="H188" s="205" t="str">
        <f>IFERROR(IF($H187+1&gt;'(backend scoring)'!$Q$335,"",$H187+1),"")</f>
        <v/>
      </c>
      <c r="I188" s="205" t="str">
        <f>_xlfn.XLOOKUP($H188,'(backend scoring)'!$S$2:$S$333,'(backend scoring)'!$A$2:$A$333,"")</f>
        <v/>
      </c>
      <c r="J188" s="205" t="str">
        <f>IFERROR(VLOOKUP($I188,'Institution Evaluation'!$A$55:$F$345,2,0),IFERROR(VLOOKUP($I188,'Privacy Analyst Evaluation'!$A$46:$F$120,2,0),""))</f>
        <v/>
      </c>
      <c r="K188" s="205" t="str">
        <f>IFERROR(VLOOKUP($I188,'Institution Evaluation'!$A$55:$F$345,3,0),IFERROR(VLOOKUP($I188,'Privacy Analyst Evaluation'!$A$46:$F$120,3,0),""))&amp;""</f>
        <v/>
      </c>
      <c r="L188" s="205" t="str">
        <f>IFERROR(VLOOKUP($I188,'Institution Evaluation'!$A$55:$F$345,4,0),IFERROR(VLOOKUP($I188,'Privacy Analyst Evaluation'!$A$46:$F$120,4,0),""))&amp;""</f>
        <v/>
      </c>
      <c r="M188" s="205" t="str">
        <f>IFERROR(VLOOKUP($I188,'Institution Evaluation'!$A$55:$F$345,6,0),IFERROR(VLOOKUP($I188,'Privacy Analyst Evaluation'!$A$46:$F$120,6,0),""))&amp;""</f>
        <v/>
      </c>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row>
    <row r="189" spans="1:338" x14ac:dyDescent="0.3">
      <c r="A189" s="205" t="str">
        <f>IFERROR(IF($A188+1&gt;'(backend scoring)'!$T$335,"",$A188+1),"")</f>
        <v/>
      </c>
      <c r="B189" s="205" t="str">
        <f>_xlfn.XLOOKUP($A189,'(backend scoring)'!$V$2:$V$333,'(backend scoring)'!$A$2:$A$333,"")</f>
        <v/>
      </c>
      <c r="C189" s="205" t="str">
        <f>IFERROR(VLOOKUP($B189,'Institution Evaluation'!$A$55:$F$345,2,0),IFERROR(VLOOKUP($B189,'Privacy Analyst Evaluation'!$A$46:$F$120,2,0),""))&amp;""</f>
        <v/>
      </c>
      <c r="D189" s="205" t="str">
        <f>IFERROR(VLOOKUP($B189,'Institution Evaluation'!$A$55:$F$345,3,0),IFERROR(VLOOKUP($B189,'Privacy Analyst Evaluation'!$A$46:$F$120,3,0),""))&amp;""</f>
        <v/>
      </c>
      <c r="E189" s="205" t="str">
        <f>IFERROR(VLOOKUP($B189,'Institution Evaluation'!$A$55:$F$345,4,0),IFERROR(VLOOKUP($B189,'Privacy Analyst Evaluation'!$A$46:$F$120,4,0),""))&amp;""</f>
        <v/>
      </c>
      <c r="F189" s="205" t="str">
        <f>IFERROR(VLOOKUP($B189,'Institution Evaluation'!$A$55:$F$345,6,0),IFERROR(VLOOKUP($B189,'Privacy Analyst Evaluation'!$A$46:$F$120,6,0),""))&amp;""</f>
        <v/>
      </c>
      <c r="G189" s="206"/>
      <c r="H189" s="205" t="str">
        <f>IFERROR(IF($H188+1&gt;'(backend scoring)'!$Q$335,"",$H188+1),"")</f>
        <v/>
      </c>
      <c r="I189" s="205" t="str">
        <f>_xlfn.XLOOKUP($H189,'(backend scoring)'!$S$2:$S$333,'(backend scoring)'!$A$2:$A$333,"")</f>
        <v/>
      </c>
      <c r="J189" s="205" t="str">
        <f>IFERROR(VLOOKUP($I189,'Institution Evaluation'!$A$55:$F$345,2,0),IFERROR(VLOOKUP($I189,'Privacy Analyst Evaluation'!$A$46:$F$120,2,0),""))</f>
        <v/>
      </c>
      <c r="K189" s="205" t="str">
        <f>IFERROR(VLOOKUP($I189,'Institution Evaluation'!$A$55:$F$345,3,0),IFERROR(VLOOKUP($I189,'Privacy Analyst Evaluation'!$A$46:$F$120,3,0),""))&amp;""</f>
        <v/>
      </c>
      <c r="L189" s="205" t="str">
        <f>IFERROR(VLOOKUP($I189,'Institution Evaluation'!$A$55:$F$345,4,0),IFERROR(VLOOKUP($I189,'Privacy Analyst Evaluation'!$A$46:$F$120,4,0),""))&amp;""</f>
        <v/>
      </c>
      <c r="M189" s="205" t="str">
        <f>IFERROR(VLOOKUP($I189,'Institution Evaluation'!$A$55:$F$345,6,0),IFERROR(VLOOKUP($I189,'Privacy Analyst Evaluation'!$A$46:$F$120,6,0),""))&amp;""</f>
        <v/>
      </c>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row>
    <row r="190" spans="1:338" x14ac:dyDescent="0.3">
      <c r="A190" s="205" t="str">
        <f>IFERROR(IF($A189+1&gt;'(backend scoring)'!$T$335,"",$A189+1),"")</f>
        <v/>
      </c>
      <c r="B190" s="205" t="str">
        <f>_xlfn.XLOOKUP($A190,'(backend scoring)'!$V$2:$V$333,'(backend scoring)'!$A$2:$A$333,"")</f>
        <v/>
      </c>
      <c r="C190" s="205" t="str">
        <f>IFERROR(VLOOKUP($B190,'Institution Evaluation'!$A$55:$F$345,2,0),IFERROR(VLOOKUP($B190,'Privacy Analyst Evaluation'!$A$46:$F$120,2,0),""))&amp;""</f>
        <v/>
      </c>
      <c r="D190" s="205" t="str">
        <f>IFERROR(VLOOKUP($B190,'Institution Evaluation'!$A$55:$F$345,3,0),IFERROR(VLOOKUP($B190,'Privacy Analyst Evaluation'!$A$46:$F$120,3,0),""))&amp;""</f>
        <v/>
      </c>
      <c r="E190" s="205" t="str">
        <f>IFERROR(VLOOKUP($B190,'Institution Evaluation'!$A$55:$F$345,4,0),IFERROR(VLOOKUP($B190,'Privacy Analyst Evaluation'!$A$46:$F$120,4,0),""))&amp;""</f>
        <v/>
      </c>
      <c r="F190" s="205" t="str">
        <f>IFERROR(VLOOKUP($B190,'Institution Evaluation'!$A$55:$F$345,6,0),IFERROR(VLOOKUP($B190,'Privacy Analyst Evaluation'!$A$46:$F$120,6,0),""))&amp;""</f>
        <v/>
      </c>
      <c r="G190" s="206"/>
      <c r="H190" s="205" t="str">
        <f>IFERROR(IF($H189+1&gt;'(backend scoring)'!$Q$335,"",$H189+1),"")</f>
        <v/>
      </c>
      <c r="I190" s="205" t="str">
        <f>_xlfn.XLOOKUP($H190,'(backend scoring)'!$S$2:$S$333,'(backend scoring)'!$A$2:$A$333,"")</f>
        <v/>
      </c>
      <c r="J190" s="205" t="str">
        <f>IFERROR(VLOOKUP($I190,'Institution Evaluation'!$A$55:$F$345,2,0),IFERROR(VLOOKUP($I190,'Privacy Analyst Evaluation'!$A$46:$F$120,2,0),""))</f>
        <v/>
      </c>
      <c r="K190" s="205" t="str">
        <f>IFERROR(VLOOKUP($I190,'Institution Evaluation'!$A$55:$F$345,3,0),IFERROR(VLOOKUP($I190,'Privacy Analyst Evaluation'!$A$46:$F$120,3,0),""))&amp;""</f>
        <v/>
      </c>
      <c r="L190" s="205" t="str">
        <f>IFERROR(VLOOKUP($I190,'Institution Evaluation'!$A$55:$F$345,4,0),IFERROR(VLOOKUP($I190,'Privacy Analyst Evaluation'!$A$46:$F$120,4,0),""))&amp;""</f>
        <v/>
      </c>
      <c r="M190" s="205" t="str">
        <f>IFERROR(VLOOKUP($I190,'Institution Evaluation'!$A$55:$F$345,6,0),IFERROR(VLOOKUP($I190,'Privacy Analyst Evaluation'!$A$46:$F$120,6,0),""))&amp;""</f>
        <v/>
      </c>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row>
    <row r="191" spans="1:338" x14ac:dyDescent="0.3">
      <c r="A191" s="205" t="str">
        <f>IFERROR(IF($A190+1&gt;'(backend scoring)'!$T$335,"",$A190+1),"")</f>
        <v/>
      </c>
      <c r="B191" s="205" t="str">
        <f>_xlfn.XLOOKUP($A191,'(backend scoring)'!$V$2:$V$333,'(backend scoring)'!$A$2:$A$333,"")</f>
        <v/>
      </c>
      <c r="C191" s="205" t="str">
        <f>IFERROR(VLOOKUP($B191,'Institution Evaluation'!$A$55:$F$345,2,0),IFERROR(VLOOKUP($B191,'Privacy Analyst Evaluation'!$A$46:$F$120,2,0),""))&amp;""</f>
        <v/>
      </c>
      <c r="D191" s="205" t="str">
        <f>IFERROR(VLOOKUP($B191,'Institution Evaluation'!$A$55:$F$345,3,0),IFERROR(VLOOKUP($B191,'Privacy Analyst Evaluation'!$A$46:$F$120,3,0),""))&amp;""</f>
        <v/>
      </c>
      <c r="E191" s="205" t="str">
        <f>IFERROR(VLOOKUP($B191,'Institution Evaluation'!$A$55:$F$345,4,0),IFERROR(VLOOKUP($B191,'Privacy Analyst Evaluation'!$A$46:$F$120,4,0),""))&amp;""</f>
        <v/>
      </c>
      <c r="F191" s="205" t="str">
        <f>IFERROR(VLOOKUP($B191,'Institution Evaluation'!$A$55:$F$345,6,0),IFERROR(VLOOKUP($B191,'Privacy Analyst Evaluation'!$A$46:$F$120,6,0),""))&amp;""</f>
        <v/>
      </c>
      <c r="G191" s="206"/>
      <c r="H191" s="205" t="str">
        <f>IFERROR(IF($H190+1&gt;'(backend scoring)'!$Q$335,"",$H190+1),"")</f>
        <v/>
      </c>
      <c r="I191" s="205" t="str">
        <f>_xlfn.XLOOKUP($H191,'(backend scoring)'!$S$2:$S$333,'(backend scoring)'!$A$2:$A$333,"")</f>
        <v/>
      </c>
      <c r="J191" s="205" t="str">
        <f>IFERROR(VLOOKUP($I191,'Institution Evaluation'!$A$55:$F$345,2,0),IFERROR(VLOOKUP($I191,'Privacy Analyst Evaluation'!$A$46:$F$120,2,0),""))</f>
        <v/>
      </c>
      <c r="K191" s="205" t="str">
        <f>IFERROR(VLOOKUP($I191,'Institution Evaluation'!$A$55:$F$345,3,0),IFERROR(VLOOKUP($I191,'Privacy Analyst Evaluation'!$A$46:$F$120,3,0),""))&amp;""</f>
        <v/>
      </c>
      <c r="L191" s="205" t="str">
        <f>IFERROR(VLOOKUP($I191,'Institution Evaluation'!$A$55:$F$345,4,0),IFERROR(VLOOKUP($I191,'Privacy Analyst Evaluation'!$A$46:$F$120,4,0),""))&amp;""</f>
        <v/>
      </c>
      <c r="M191" s="205" t="str">
        <f>IFERROR(VLOOKUP($I191,'Institution Evaluation'!$A$55:$F$345,6,0),IFERROR(VLOOKUP($I191,'Privacy Analyst Evaluation'!$A$46:$F$120,6,0),""))&amp;""</f>
        <v/>
      </c>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row>
    <row r="192" spans="1:338" x14ac:dyDescent="0.3">
      <c r="A192" s="205" t="str">
        <f>IFERROR(IF($A191+1&gt;'(backend scoring)'!$T$335,"",$A191+1),"")</f>
        <v/>
      </c>
      <c r="B192" s="205" t="str">
        <f>_xlfn.XLOOKUP($A192,'(backend scoring)'!$V$2:$V$333,'(backend scoring)'!$A$2:$A$333,"")</f>
        <v/>
      </c>
      <c r="C192" s="205" t="str">
        <f>IFERROR(VLOOKUP($B192,'Institution Evaluation'!$A$55:$F$345,2,0),IFERROR(VLOOKUP($B192,'Privacy Analyst Evaluation'!$A$46:$F$120,2,0),""))&amp;""</f>
        <v/>
      </c>
      <c r="D192" s="205" t="str">
        <f>IFERROR(VLOOKUP($B192,'Institution Evaluation'!$A$55:$F$345,3,0),IFERROR(VLOOKUP($B192,'Privacy Analyst Evaluation'!$A$46:$F$120,3,0),""))&amp;""</f>
        <v/>
      </c>
      <c r="E192" s="205" t="str">
        <f>IFERROR(VLOOKUP($B192,'Institution Evaluation'!$A$55:$F$345,4,0),IFERROR(VLOOKUP($B192,'Privacy Analyst Evaluation'!$A$46:$F$120,4,0),""))&amp;""</f>
        <v/>
      </c>
      <c r="F192" s="205" t="str">
        <f>IFERROR(VLOOKUP($B192,'Institution Evaluation'!$A$55:$F$345,6,0),IFERROR(VLOOKUP($B192,'Privacy Analyst Evaluation'!$A$46:$F$120,6,0),""))&amp;""</f>
        <v/>
      </c>
      <c r="G192" s="206"/>
      <c r="H192" s="205" t="str">
        <f>IFERROR(IF($H191+1&gt;'(backend scoring)'!$Q$335,"",$H191+1),"")</f>
        <v/>
      </c>
      <c r="I192" s="205" t="str">
        <f>_xlfn.XLOOKUP($H192,'(backend scoring)'!$S$2:$S$333,'(backend scoring)'!$A$2:$A$333,"")</f>
        <v/>
      </c>
      <c r="J192" s="205" t="str">
        <f>IFERROR(VLOOKUP($I192,'Institution Evaluation'!$A$55:$F$345,2,0),IFERROR(VLOOKUP($I192,'Privacy Analyst Evaluation'!$A$46:$F$120,2,0),""))</f>
        <v/>
      </c>
      <c r="K192" s="205" t="str">
        <f>IFERROR(VLOOKUP($I192,'Institution Evaluation'!$A$55:$F$345,3,0),IFERROR(VLOOKUP($I192,'Privacy Analyst Evaluation'!$A$46:$F$120,3,0),""))&amp;""</f>
        <v/>
      </c>
      <c r="L192" s="205" t="str">
        <f>IFERROR(VLOOKUP($I192,'Institution Evaluation'!$A$55:$F$345,4,0),IFERROR(VLOOKUP($I192,'Privacy Analyst Evaluation'!$A$46:$F$120,4,0),""))&amp;""</f>
        <v/>
      </c>
      <c r="M192" s="205" t="str">
        <f>IFERROR(VLOOKUP($I192,'Institution Evaluation'!$A$55:$F$345,6,0),IFERROR(VLOOKUP($I192,'Privacy Analyst Evaluation'!$A$46:$F$120,6,0),""))&amp;""</f>
        <v/>
      </c>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row>
    <row r="193" spans="1:338" x14ac:dyDescent="0.3">
      <c r="A193" s="205" t="str">
        <f>IFERROR(IF($A192+1&gt;'(backend scoring)'!$T$335,"",$A192+1),"")</f>
        <v/>
      </c>
      <c r="B193" s="205" t="str">
        <f>_xlfn.XLOOKUP($A193,'(backend scoring)'!$V$2:$V$333,'(backend scoring)'!$A$2:$A$333,"")</f>
        <v/>
      </c>
      <c r="C193" s="205" t="str">
        <f>IFERROR(VLOOKUP($B193,'Institution Evaluation'!$A$55:$F$345,2,0),IFERROR(VLOOKUP($B193,'Privacy Analyst Evaluation'!$A$46:$F$120,2,0),""))&amp;""</f>
        <v/>
      </c>
      <c r="D193" s="205" t="str">
        <f>IFERROR(VLOOKUP($B193,'Institution Evaluation'!$A$55:$F$345,3,0),IFERROR(VLOOKUP($B193,'Privacy Analyst Evaluation'!$A$46:$F$120,3,0),""))&amp;""</f>
        <v/>
      </c>
      <c r="E193" s="205" t="str">
        <f>IFERROR(VLOOKUP($B193,'Institution Evaluation'!$A$55:$F$345,4,0),IFERROR(VLOOKUP($B193,'Privacy Analyst Evaluation'!$A$46:$F$120,4,0),""))&amp;""</f>
        <v/>
      </c>
      <c r="F193" s="205" t="str">
        <f>IFERROR(VLOOKUP($B193,'Institution Evaluation'!$A$55:$F$345,6,0),IFERROR(VLOOKUP($B193,'Privacy Analyst Evaluation'!$A$46:$F$120,6,0),""))&amp;""</f>
        <v/>
      </c>
      <c r="G193" s="206"/>
      <c r="H193" s="205" t="str">
        <f>IFERROR(IF($H192+1&gt;'(backend scoring)'!$Q$335,"",$H192+1),"")</f>
        <v/>
      </c>
      <c r="I193" s="205" t="str">
        <f>_xlfn.XLOOKUP($H193,'(backend scoring)'!$S$2:$S$333,'(backend scoring)'!$A$2:$A$333,"")</f>
        <v/>
      </c>
      <c r="J193" s="205" t="str">
        <f>IFERROR(VLOOKUP($I193,'Institution Evaluation'!$A$55:$F$345,2,0),IFERROR(VLOOKUP($I193,'Privacy Analyst Evaluation'!$A$46:$F$120,2,0),""))</f>
        <v/>
      </c>
      <c r="K193" s="205" t="str">
        <f>IFERROR(VLOOKUP($I193,'Institution Evaluation'!$A$55:$F$345,3,0),IFERROR(VLOOKUP($I193,'Privacy Analyst Evaluation'!$A$46:$F$120,3,0),""))&amp;""</f>
        <v/>
      </c>
      <c r="L193" s="205" t="str">
        <f>IFERROR(VLOOKUP($I193,'Institution Evaluation'!$A$55:$F$345,4,0),IFERROR(VLOOKUP($I193,'Privacy Analyst Evaluation'!$A$46:$F$120,4,0),""))&amp;""</f>
        <v/>
      </c>
      <c r="M193" s="205" t="str">
        <f>IFERROR(VLOOKUP($I193,'Institution Evaluation'!$A$55:$F$345,6,0),IFERROR(VLOOKUP($I193,'Privacy Analyst Evaluation'!$A$46:$F$120,6,0),""))&amp;""</f>
        <v/>
      </c>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row>
    <row r="194" spans="1:338" x14ac:dyDescent="0.3">
      <c r="A194" s="205" t="str">
        <f>IFERROR(IF($A193+1&gt;'(backend scoring)'!$T$335,"",$A193+1),"")</f>
        <v/>
      </c>
      <c r="B194" s="205" t="str">
        <f>_xlfn.XLOOKUP($A194,'(backend scoring)'!$V$2:$V$333,'(backend scoring)'!$A$2:$A$333,"")</f>
        <v/>
      </c>
      <c r="C194" s="205" t="str">
        <f>IFERROR(VLOOKUP($B194,'Institution Evaluation'!$A$55:$F$345,2,0),IFERROR(VLOOKUP($B194,'Privacy Analyst Evaluation'!$A$46:$F$120,2,0),""))&amp;""</f>
        <v/>
      </c>
      <c r="D194" s="205" t="str">
        <f>IFERROR(VLOOKUP($B194,'Institution Evaluation'!$A$55:$F$345,3,0),IFERROR(VLOOKUP($B194,'Privacy Analyst Evaluation'!$A$46:$F$120,3,0),""))&amp;""</f>
        <v/>
      </c>
      <c r="E194" s="205" t="str">
        <f>IFERROR(VLOOKUP($B194,'Institution Evaluation'!$A$55:$F$345,4,0),IFERROR(VLOOKUP($B194,'Privacy Analyst Evaluation'!$A$46:$F$120,4,0),""))&amp;""</f>
        <v/>
      </c>
      <c r="F194" s="205" t="str">
        <f>IFERROR(VLOOKUP($B194,'Institution Evaluation'!$A$55:$F$345,6,0),IFERROR(VLOOKUP($B194,'Privacy Analyst Evaluation'!$A$46:$F$120,6,0),""))&amp;""</f>
        <v/>
      </c>
      <c r="G194" s="206"/>
      <c r="H194" s="205" t="str">
        <f>IFERROR(IF($H193+1&gt;'(backend scoring)'!$Q$335,"",$H193+1),"")</f>
        <v/>
      </c>
      <c r="I194" s="205" t="str">
        <f>_xlfn.XLOOKUP($H194,'(backend scoring)'!$S$2:$S$333,'(backend scoring)'!$A$2:$A$333,"")</f>
        <v/>
      </c>
      <c r="J194" s="205" t="str">
        <f>IFERROR(VLOOKUP($I194,'Institution Evaluation'!$A$55:$F$345,2,0),IFERROR(VLOOKUP($I194,'Privacy Analyst Evaluation'!$A$46:$F$120,2,0),""))</f>
        <v/>
      </c>
      <c r="K194" s="205" t="str">
        <f>IFERROR(VLOOKUP($I194,'Institution Evaluation'!$A$55:$F$345,3,0),IFERROR(VLOOKUP($I194,'Privacy Analyst Evaluation'!$A$46:$F$120,3,0),""))&amp;""</f>
        <v/>
      </c>
      <c r="L194" s="205" t="str">
        <f>IFERROR(VLOOKUP($I194,'Institution Evaluation'!$A$55:$F$345,4,0),IFERROR(VLOOKUP($I194,'Privacy Analyst Evaluation'!$A$46:$F$120,4,0),""))&amp;""</f>
        <v/>
      </c>
      <c r="M194" s="205" t="str">
        <f>IFERROR(VLOOKUP($I194,'Institution Evaluation'!$A$55:$F$345,6,0),IFERROR(VLOOKUP($I194,'Privacy Analyst Evaluation'!$A$46:$F$120,6,0),""))&amp;""</f>
        <v/>
      </c>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row>
    <row r="195" spans="1:338" x14ac:dyDescent="0.3">
      <c r="A195" s="205" t="str">
        <f>IFERROR(IF($A194+1&gt;'(backend scoring)'!$T$335,"",$A194+1),"")</f>
        <v/>
      </c>
      <c r="B195" s="205" t="str">
        <f>_xlfn.XLOOKUP($A195,'(backend scoring)'!$V$2:$V$333,'(backend scoring)'!$A$2:$A$333,"")</f>
        <v/>
      </c>
      <c r="C195" s="205" t="str">
        <f>IFERROR(VLOOKUP($B195,'Institution Evaluation'!$A$55:$F$345,2,0),IFERROR(VLOOKUP($B195,'Privacy Analyst Evaluation'!$A$46:$F$120,2,0),""))&amp;""</f>
        <v/>
      </c>
      <c r="D195" s="205" t="str">
        <f>IFERROR(VLOOKUP($B195,'Institution Evaluation'!$A$55:$F$345,3,0),IFERROR(VLOOKUP($B195,'Privacy Analyst Evaluation'!$A$46:$F$120,3,0),""))&amp;""</f>
        <v/>
      </c>
      <c r="E195" s="205" t="str">
        <f>IFERROR(VLOOKUP($B195,'Institution Evaluation'!$A$55:$F$345,4,0),IFERROR(VLOOKUP($B195,'Privacy Analyst Evaluation'!$A$46:$F$120,4,0),""))&amp;""</f>
        <v/>
      </c>
      <c r="F195" s="205" t="str">
        <f>IFERROR(VLOOKUP($B195,'Institution Evaluation'!$A$55:$F$345,6,0),IFERROR(VLOOKUP($B195,'Privacy Analyst Evaluation'!$A$46:$F$120,6,0),""))&amp;""</f>
        <v/>
      </c>
      <c r="G195" s="206"/>
      <c r="H195" s="205" t="str">
        <f>IFERROR(IF($H194+1&gt;'(backend scoring)'!$Q$335,"",$H194+1),"")</f>
        <v/>
      </c>
      <c r="I195" s="205" t="str">
        <f>_xlfn.XLOOKUP($H195,'(backend scoring)'!$S$2:$S$333,'(backend scoring)'!$A$2:$A$333,"")</f>
        <v/>
      </c>
      <c r="J195" s="205" t="str">
        <f>IFERROR(VLOOKUP($I195,'Institution Evaluation'!$A$55:$F$345,2,0),IFERROR(VLOOKUP($I195,'Privacy Analyst Evaluation'!$A$46:$F$120,2,0),""))</f>
        <v/>
      </c>
      <c r="K195" s="205" t="str">
        <f>IFERROR(VLOOKUP($I195,'Institution Evaluation'!$A$55:$F$345,3,0),IFERROR(VLOOKUP($I195,'Privacy Analyst Evaluation'!$A$46:$F$120,3,0),""))&amp;""</f>
        <v/>
      </c>
      <c r="L195" s="205" t="str">
        <f>IFERROR(VLOOKUP($I195,'Institution Evaluation'!$A$55:$F$345,4,0),IFERROR(VLOOKUP($I195,'Privacy Analyst Evaluation'!$A$46:$F$120,4,0),""))&amp;""</f>
        <v/>
      </c>
      <c r="M195" s="205" t="str">
        <f>IFERROR(VLOOKUP($I195,'Institution Evaluation'!$A$55:$F$345,6,0),IFERROR(VLOOKUP($I195,'Privacy Analyst Evaluation'!$A$46:$F$120,6,0),""))&amp;""</f>
        <v/>
      </c>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row>
    <row r="196" spans="1:338" x14ac:dyDescent="0.3">
      <c r="A196" s="205" t="str">
        <f>IFERROR(IF($A195+1&gt;'(backend scoring)'!$T$335,"",$A195+1),"")</f>
        <v/>
      </c>
      <c r="B196" s="205" t="str">
        <f>_xlfn.XLOOKUP($A196,'(backend scoring)'!$V$2:$V$333,'(backend scoring)'!$A$2:$A$333,"")</f>
        <v/>
      </c>
      <c r="C196" s="205" t="str">
        <f>IFERROR(VLOOKUP($B196,'Institution Evaluation'!$A$55:$F$345,2,0),IFERROR(VLOOKUP($B196,'Privacy Analyst Evaluation'!$A$46:$F$120,2,0),""))&amp;""</f>
        <v/>
      </c>
      <c r="D196" s="205" t="str">
        <f>IFERROR(VLOOKUP($B196,'Institution Evaluation'!$A$55:$F$345,3,0),IFERROR(VLOOKUP($B196,'Privacy Analyst Evaluation'!$A$46:$F$120,3,0),""))&amp;""</f>
        <v/>
      </c>
      <c r="E196" s="205" t="str">
        <f>IFERROR(VLOOKUP($B196,'Institution Evaluation'!$A$55:$F$345,4,0),IFERROR(VLOOKUP($B196,'Privacy Analyst Evaluation'!$A$46:$F$120,4,0),""))&amp;""</f>
        <v/>
      </c>
      <c r="F196" s="205" t="str">
        <f>IFERROR(VLOOKUP($B196,'Institution Evaluation'!$A$55:$F$345,6,0),IFERROR(VLOOKUP($B196,'Privacy Analyst Evaluation'!$A$46:$F$120,6,0),""))&amp;""</f>
        <v/>
      </c>
      <c r="G196" s="206"/>
      <c r="H196" s="205" t="str">
        <f>IFERROR(IF($H195+1&gt;'(backend scoring)'!$Q$335,"",$H195+1),"")</f>
        <v/>
      </c>
      <c r="I196" s="205" t="str">
        <f>_xlfn.XLOOKUP($H196,'(backend scoring)'!$S$2:$S$333,'(backend scoring)'!$A$2:$A$333,"")</f>
        <v/>
      </c>
      <c r="J196" s="205" t="str">
        <f>IFERROR(VLOOKUP($I196,'Institution Evaluation'!$A$55:$F$345,2,0),IFERROR(VLOOKUP($I196,'Privacy Analyst Evaluation'!$A$46:$F$120,2,0),""))</f>
        <v/>
      </c>
      <c r="K196" s="205" t="str">
        <f>IFERROR(VLOOKUP($I196,'Institution Evaluation'!$A$55:$F$345,3,0),IFERROR(VLOOKUP($I196,'Privacy Analyst Evaluation'!$A$46:$F$120,3,0),""))&amp;""</f>
        <v/>
      </c>
      <c r="L196" s="205" t="str">
        <f>IFERROR(VLOOKUP($I196,'Institution Evaluation'!$A$55:$F$345,4,0),IFERROR(VLOOKUP($I196,'Privacy Analyst Evaluation'!$A$46:$F$120,4,0),""))&amp;""</f>
        <v/>
      </c>
      <c r="M196" s="205" t="str">
        <f>IFERROR(VLOOKUP($I196,'Institution Evaluation'!$A$55:$F$345,6,0),IFERROR(VLOOKUP($I196,'Privacy Analyst Evaluation'!$A$46:$F$120,6,0),""))&amp;""</f>
        <v/>
      </c>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row>
    <row r="197" spans="1:338" x14ac:dyDescent="0.3">
      <c r="A197" s="205" t="str">
        <f>IFERROR(IF($A196+1&gt;'(backend scoring)'!$T$335,"",$A196+1),"")</f>
        <v/>
      </c>
      <c r="B197" s="205" t="str">
        <f>_xlfn.XLOOKUP($A197,'(backend scoring)'!$V$2:$V$333,'(backend scoring)'!$A$2:$A$333,"")</f>
        <v/>
      </c>
      <c r="C197" s="205" t="str">
        <f>IFERROR(VLOOKUP($B197,'Institution Evaluation'!$A$55:$F$345,2,0),IFERROR(VLOOKUP($B197,'Privacy Analyst Evaluation'!$A$46:$F$120,2,0),""))&amp;""</f>
        <v/>
      </c>
      <c r="D197" s="205" t="str">
        <f>IFERROR(VLOOKUP($B197,'Institution Evaluation'!$A$55:$F$345,3,0),IFERROR(VLOOKUP($B197,'Privacy Analyst Evaluation'!$A$46:$F$120,3,0),""))&amp;""</f>
        <v/>
      </c>
      <c r="E197" s="205" t="str">
        <f>IFERROR(VLOOKUP($B197,'Institution Evaluation'!$A$55:$F$345,4,0),IFERROR(VLOOKUP($B197,'Privacy Analyst Evaluation'!$A$46:$F$120,4,0),""))&amp;""</f>
        <v/>
      </c>
      <c r="F197" s="205" t="str">
        <f>IFERROR(VLOOKUP($B197,'Institution Evaluation'!$A$55:$F$345,6,0),IFERROR(VLOOKUP($B197,'Privacy Analyst Evaluation'!$A$46:$F$120,6,0),""))&amp;""</f>
        <v/>
      </c>
      <c r="G197" s="206"/>
      <c r="H197" s="205" t="str">
        <f>IFERROR(IF($H196+1&gt;'(backend scoring)'!$Q$335,"",$H196+1),"")</f>
        <v/>
      </c>
      <c r="I197" s="205" t="str">
        <f>_xlfn.XLOOKUP($H197,'(backend scoring)'!$S$2:$S$333,'(backend scoring)'!$A$2:$A$333,"")</f>
        <v/>
      </c>
      <c r="J197" s="205" t="str">
        <f>IFERROR(VLOOKUP($I197,'Institution Evaluation'!$A$55:$F$345,2,0),IFERROR(VLOOKUP($I197,'Privacy Analyst Evaluation'!$A$46:$F$120,2,0),""))</f>
        <v/>
      </c>
      <c r="K197" s="205" t="str">
        <f>IFERROR(VLOOKUP($I197,'Institution Evaluation'!$A$55:$F$345,3,0),IFERROR(VLOOKUP($I197,'Privacy Analyst Evaluation'!$A$46:$F$120,3,0),""))&amp;""</f>
        <v/>
      </c>
      <c r="L197" s="205" t="str">
        <f>IFERROR(VLOOKUP($I197,'Institution Evaluation'!$A$55:$F$345,4,0),IFERROR(VLOOKUP($I197,'Privacy Analyst Evaluation'!$A$46:$F$120,4,0),""))&amp;""</f>
        <v/>
      </c>
      <c r="M197" s="205" t="str">
        <f>IFERROR(VLOOKUP($I197,'Institution Evaluation'!$A$55:$F$345,6,0),IFERROR(VLOOKUP($I197,'Privacy Analyst Evaluation'!$A$46:$F$120,6,0),""))&amp;""</f>
        <v/>
      </c>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row>
    <row r="198" spans="1:338" x14ac:dyDescent="0.3">
      <c r="A198" s="205" t="str">
        <f>IFERROR(IF($A197+1&gt;'(backend scoring)'!$T$335,"",$A197+1),"")</f>
        <v/>
      </c>
      <c r="B198" s="205" t="str">
        <f>_xlfn.XLOOKUP($A198,'(backend scoring)'!$V$2:$V$333,'(backend scoring)'!$A$2:$A$333,"")</f>
        <v/>
      </c>
      <c r="C198" s="205" t="str">
        <f>IFERROR(VLOOKUP($B198,'Institution Evaluation'!$A$55:$F$345,2,0),IFERROR(VLOOKUP($B198,'Privacy Analyst Evaluation'!$A$46:$F$120,2,0),""))&amp;""</f>
        <v/>
      </c>
      <c r="D198" s="205" t="str">
        <f>IFERROR(VLOOKUP($B198,'Institution Evaluation'!$A$55:$F$345,3,0),IFERROR(VLOOKUP($B198,'Privacy Analyst Evaluation'!$A$46:$F$120,3,0),""))&amp;""</f>
        <v/>
      </c>
      <c r="E198" s="205" t="str">
        <f>IFERROR(VLOOKUP($B198,'Institution Evaluation'!$A$55:$F$345,4,0),IFERROR(VLOOKUP($B198,'Privacy Analyst Evaluation'!$A$46:$F$120,4,0),""))&amp;""</f>
        <v/>
      </c>
      <c r="F198" s="205" t="str">
        <f>IFERROR(VLOOKUP($B198,'Institution Evaluation'!$A$55:$F$345,6,0),IFERROR(VLOOKUP($B198,'Privacy Analyst Evaluation'!$A$46:$F$120,6,0),""))&amp;""</f>
        <v/>
      </c>
      <c r="G198" s="206"/>
      <c r="H198" s="205" t="str">
        <f>IFERROR(IF($H197+1&gt;'(backend scoring)'!$Q$335,"",$H197+1),"")</f>
        <v/>
      </c>
      <c r="I198" s="205" t="str">
        <f>_xlfn.XLOOKUP($H198,'(backend scoring)'!$S$2:$S$333,'(backend scoring)'!$A$2:$A$333,"")</f>
        <v/>
      </c>
      <c r="J198" s="205" t="str">
        <f>IFERROR(VLOOKUP($I198,'Institution Evaluation'!$A$55:$F$345,2,0),IFERROR(VLOOKUP($I198,'Privacy Analyst Evaluation'!$A$46:$F$120,2,0),""))</f>
        <v/>
      </c>
      <c r="K198" s="205" t="str">
        <f>IFERROR(VLOOKUP($I198,'Institution Evaluation'!$A$55:$F$345,3,0),IFERROR(VLOOKUP($I198,'Privacy Analyst Evaluation'!$A$46:$F$120,3,0),""))&amp;""</f>
        <v/>
      </c>
      <c r="L198" s="205" t="str">
        <f>IFERROR(VLOOKUP($I198,'Institution Evaluation'!$A$55:$F$345,4,0),IFERROR(VLOOKUP($I198,'Privacy Analyst Evaluation'!$A$46:$F$120,4,0),""))&amp;""</f>
        <v/>
      </c>
      <c r="M198" s="205" t="str">
        <f>IFERROR(VLOOKUP($I198,'Institution Evaluation'!$A$55:$F$345,6,0),IFERROR(VLOOKUP($I198,'Privacy Analyst Evaluation'!$A$46:$F$120,6,0),""))&amp;""</f>
        <v/>
      </c>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row>
    <row r="199" spans="1:338" x14ac:dyDescent="0.3">
      <c r="A199" s="205" t="str">
        <f>IFERROR(IF($A198+1&gt;'(backend scoring)'!$T$335,"",$A198+1),"")</f>
        <v/>
      </c>
      <c r="B199" s="205" t="str">
        <f>_xlfn.XLOOKUP($A199,'(backend scoring)'!$V$2:$V$333,'(backend scoring)'!$A$2:$A$333,"")</f>
        <v/>
      </c>
      <c r="C199" s="205" t="str">
        <f>IFERROR(VLOOKUP($B199,'Institution Evaluation'!$A$55:$F$345,2,0),IFERROR(VLOOKUP($B199,'Privacy Analyst Evaluation'!$A$46:$F$120,2,0),""))&amp;""</f>
        <v/>
      </c>
      <c r="D199" s="205" t="str">
        <f>IFERROR(VLOOKUP($B199,'Institution Evaluation'!$A$55:$F$345,3,0),IFERROR(VLOOKUP($B199,'Privacy Analyst Evaluation'!$A$46:$F$120,3,0),""))&amp;""</f>
        <v/>
      </c>
      <c r="E199" s="205" t="str">
        <f>IFERROR(VLOOKUP($B199,'Institution Evaluation'!$A$55:$F$345,4,0),IFERROR(VLOOKUP($B199,'Privacy Analyst Evaluation'!$A$46:$F$120,4,0),""))&amp;""</f>
        <v/>
      </c>
      <c r="F199" s="205" t="str">
        <f>IFERROR(VLOOKUP($B199,'Institution Evaluation'!$A$55:$F$345,6,0),IFERROR(VLOOKUP($B199,'Privacy Analyst Evaluation'!$A$46:$F$120,6,0),""))&amp;""</f>
        <v/>
      </c>
      <c r="G199" s="206"/>
      <c r="H199" s="205" t="str">
        <f>IFERROR(IF($H198+1&gt;'(backend scoring)'!$Q$335,"",$H198+1),"")</f>
        <v/>
      </c>
      <c r="I199" s="205" t="str">
        <f>_xlfn.XLOOKUP($H199,'(backend scoring)'!$S$2:$S$333,'(backend scoring)'!$A$2:$A$333,"")</f>
        <v/>
      </c>
      <c r="J199" s="205" t="str">
        <f>IFERROR(VLOOKUP($I199,'Institution Evaluation'!$A$55:$F$345,2,0),IFERROR(VLOOKUP($I199,'Privacy Analyst Evaluation'!$A$46:$F$120,2,0),""))</f>
        <v/>
      </c>
      <c r="K199" s="205" t="str">
        <f>IFERROR(VLOOKUP($I199,'Institution Evaluation'!$A$55:$F$345,3,0),IFERROR(VLOOKUP($I199,'Privacy Analyst Evaluation'!$A$46:$F$120,3,0),""))&amp;""</f>
        <v/>
      </c>
      <c r="L199" s="205" t="str">
        <f>IFERROR(VLOOKUP($I199,'Institution Evaluation'!$A$55:$F$345,4,0),IFERROR(VLOOKUP($I199,'Privacy Analyst Evaluation'!$A$46:$F$120,4,0),""))&amp;""</f>
        <v/>
      </c>
      <c r="M199" s="205" t="str">
        <f>IFERROR(VLOOKUP($I199,'Institution Evaluation'!$A$55:$F$345,6,0),IFERROR(VLOOKUP($I199,'Privacy Analyst Evaluation'!$A$46:$F$120,6,0),""))&amp;""</f>
        <v/>
      </c>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row>
    <row r="200" spans="1:338" x14ac:dyDescent="0.3">
      <c r="A200" s="205" t="str">
        <f>IFERROR(IF($A199+1&gt;'(backend scoring)'!$T$335,"",$A199+1),"")</f>
        <v/>
      </c>
      <c r="B200" s="205" t="str">
        <f>_xlfn.XLOOKUP($A200,'(backend scoring)'!$V$2:$V$333,'(backend scoring)'!$A$2:$A$333,"")</f>
        <v/>
      </c>
      <c r="C200" s="205" t="str">
        <f>IFERROR(VLOOKUP($B200,'Institution Evaluation'!$A$55:$F$345,2,0),IFERROR(VLOOKUP($B200,'Privacy Analyst Evaluation'!$A$46:$F$120,2,0),""))&amp;""</f>
        <v/>
      </c>
      <c r="D200" s="205" t="str">
        <f>IFERROR(VLOOKUP($B200,'Institution Evaluation'!$A$55:$F$345,3,0),IFERROR(VLOOKUP($B200,'Privacy Analyst Evaluation'!$A$46:$F$120,3,0),""))&amp;""</f>
        <v/>
      </c>
      <c r="E200" s="205" t="str">
        <f>IFERROR(VLOOKUP($B200,'Institution Evaluation'!$A$55:$F$345,4,0),IFERROR(VLOOKUP($B200,'Privacy Analyst Evaluation'!$A$46:$F$120,4,0),""))&amp;""</f>
        <v/>
      </c>
      <c r="F200" s="205" t="str">
        <f>IFERROR(VLOOKUP($B200,'Institution Evaluation'!$A$55:$F$345,6,0),IFERROR(VLOOKUP($B200,'Privacy Analyst Evaluation'!$A$46:$F$120,6,0),""))&amp;""</f>
        <v/>
      </c>
      <c r="G200" s="206"/>
      <c r="H200" s="205" t="str">
        <f>IFERROR(IF($H199+1&gt;'(backend scoring)'!$Q$335,"",$H199+1),"")</f>
        <v/>
      </c>
      <c r="I200" s="205" t="str">
        <f>_xlfn.XLOOKUP($H200,'(backend scoring)'!$S$2:$S$333,'(backend scoring)'!$A$2:$A$333,"")</f>
        <v/>
      </c>
      <c r="J200" s="205" t="str">
        <f>IFERROR(VLOOKUP($I200,'Institution Evaluation'!$A$55:$F$345,2,0),IFERROR(VLOOKUP($I200,'Privacy Analyst Evaluation'!$A$46:$F$120,2,0),""))</f>
        <v/>
      </c>
      <c r="K200" s="205" t="str">
        <f>IFERROR(VLOOKUP($I200,'Institution Evaluation'!$A$55:$F$345,3,0),IFERROR(VLOOKUP($I200,'Privacy Analyst Evaluation'!$A$46:$F$120,3,0),""))&amp;""</f>
        <v/>
      </c>
      <c r="L200" s="205" t="str">
        <f>IFERROR(VLOOKUP($I200,'Institution Evaluation'!$A$55:$F$345,4,0),IFERROR(VLOOKUP($I200,'Privacy Analyst Evaluation'!$A$46:$F$120,4,0),""))&amp;""</f>
        <v/>
      </c>
      <c r="M200" s="205" t="str">
        <f>IFERROR(VLOOKUP($I200,'Institution Evaluation'!$A$55:$F$345,6,0),IFERROR(VLOOKUP($I200,'Privacy Analyst Evaluation'!$A$46:$F$120,6,0),""))&amp;""</f>
        <v/>
      </c>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row>
    <row r="201" spans="1:338" x14ac:dyDescent="0.3">
      <c r="A201" s="205" t="str">
        <f>IFERROR(IF($A200+1&gt;'(backend scoring)'!$T$335,"",$A200+1),"")</f>
        <v/>
      </c>
      <c r="B201" s="205" t="str">
        <f>_xlfn.XLOOKUP($A201,'(backend scoring)'!$V$2:$V$333,'(backend scoring)'!$A$2:$A$333,"")</f>
        <v/>
      </c>
      <c r="C201" s="205" t="str">
        <f>IFERROR(VLOOKUP($B201,'Institution Evaluation'!$A$55:$F$345,2,0),IFERROR(VLOOKUP($B201,'Privacy Analyst Evaluation'!$A$46:$F$120,2,0),""))&amp;""</f>
        <v/>
      </c>
      <c r="D201" s="205" t="str">
        <f>IFERROR(VLOOKUP($B201,'Institution Evaluation'!$A$55:$F$345,3,0),IFERROR(VLOOKUP($B201,'Privacy Analyst Evaluation'!$A$46:$F$120,3,0),""))&amp;""</f>
        <v/>
      </c>
      <c r="E201" s="205" t="str">
        <f>IFERROR(VLOOKUP($B201,'Institution Evaluation'!$A$55:$F$345,4,0),IFERROR(VLOOKUP($B201,'Privacy Analyst Evaluation'!$A$46:$F$120,4,0),""))&amp;""</f>
        <v/>
      </c>
      <c r="F201" s="205" t="str">
        <f>IFERROR(VLOOKUP($B201,'Institution Evaluation'!$A$55:$F$345,6,0),IFERROR(VLOOKUP($B201,'Privacy Analyst Evaluation'!$A$46:$F$120,6,0),""))&amp;""</f>
        <v/>
      </c>
      <c r="G201" s="206"/>
      <c r="H201" s="205" t="str">
        <f>IFERROR(IF($H200+1&gt;'(backend scoring)'!$Q$335,"",$H200+1),"")</f>
        <v/>
      </c>
      <c r="I201" s="205" t="str">
        <f>_xlfn.XLOOKUP($H201,'(backend scoring)'!$S$2:$S$333,'(backend scoring)'!$A$2:$A$333,"")</f>
        <v/>
      </c>
      <c r="J201" s="205" t="str">
        <f>IFERROR(VLOOKUP($I201,'Institution Evaluation'!$A$55:$F$345,2,0),IFERROR(VLOOKUP($I201,'Privacy Analyst Evaluation'!$A$46:$F$120,2,0),""))</f>
        <v/>
      </c>
      <c r="K201" s="205" t="str">
        <f>IFERROR(VLOOKUP($I201,'Institution Evaluation'!$A$55:$F$345,3,0),IFERROR(VLOOKUP($I201,'Privacy Analyst Evaluation'!$A$46:$F$120,3,0),""))&amp;""</f>
        <v/>
      </c>
      <c r="L201" s="205" t="str">
        <f>IFERROR(VLOOKUP($I201,'Institution Evaluation'!$A$55:$F$345,4,0),IFERROR(VLOOKUP($I201,'Privacy Analyst Evaluation'!$A$46:$F$120,4,0),""))&amp;""</f>
        <v/>
      </c>
      <c r="M201" s="205" t="str">
        <f>IFERROR(VLOOKUP($I201,'Institution Evaluation'!$A$55:$F$345,6,0),IFERROR(VLOOKUP($I201,'Privacy Analyst Evaluation'!$A$46:$F$120,6,0),""))&amp;""</f>
        <v/>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row>
    <row r="202" spans="1:338" x14ac:dyDescent="0.3">
      <c r="A202" s="205" t="str">
        <f>IFERROR(IF($A201+1&gt;'(backend scoring)'!$T$335,"",$A201+1),"")</f>
        <v/>
      </c>
      <c r="B202" s="205" t="str">
        <f>_xlfn.XLOOKUP($A202,'(backend scoring)'!$V$2:$V$333,'(backend scoring)'!$A$2:$A$333,"")</f>
        <v/>
      </c>
      <c r="C202" s="205" t="str">
        <f>IFERROR(VLOOKUP($B202,'Institution Evaluation'!$A$55:$F$345,2,0),IFERROR(VLOOKUP($B202,'Privacy Analyst Evaluation'!$A$46:$F$120,2,0),""))&amp;""</f>
        <v/>
      </c>
      <c r="D202" s="205" t="str">
        <f>IFERROR(VLOOKUP($B202,'Institution Evaluation'!$A$55:$F$345,3,0),IFERROR(VLOOKUP($B202,'Privacy Analyst Evaluation'!$A$46:$F$120,3,0),""))&amp;""</f>
        <v/>
      </c>
      <c r="E202" s="205" t="str">
        <f>IFERROR(VLOOKUP($B202,'Institution Evaluation'!$A$55:$F$345,4,0),IFERROR(VLOOKUP($B202,'Privacy Analyst Evaluation'!$A$46:$F$120,4,0),""))&amp;""</f>
        <v/>
      </c>
      <c r="F202" s="205" t="str">
        <f>IFERROR(VLOOKUP($B202,'Institution Evaluation'!$A$55:$F$345,6,0),IFERROR(VLOOKUP($B202,'Privacy Analyst Evaluation'!$A$46:$F$120,6,0),""))&amp;""</f>
        <v/>
      </c>
      <c r="G202" s="206"/>
      <c r="H202" s="205" t="str">
        <f>IFERROR(IF($H201+1&gt;'(backend scoring)'!$Q$335,"",$H201+1),"")</f>
        <v/>
      </c>
      <c r="I202" s="205" t="str">
        <f>_xlfn.XLOOKUP($H202,'(backend scoring)'!$S$2:$S$333,'(backend scoring)'!$A$2:$A$333,"")</f>
        <v/>
      </c>
      <c r="J202" s="205" t="str">
        <f>IFERROR(VLOOKUP($I202,'Institution Evaluation'!$A$55:$F$345,2,0),IFERROR(VLOOKUP($I202,'Privacy Analyst Evaluation'!$A$46:$F$120,2,0),""))</f>
        <v/>
      </c>
      <c r="K202" s="205" t="str">
        <f>IFERROR(VLOOKUP($I202,'Institution Evaluation'!$A$55:$F$345,3,0),IFERROR(VLOOKUP($I202,'Privacy Analyst Evaluation'!$A$46:$F$120,3,0),""))&amp;""</f>
        <v/>
      </c>
      <c r="L202" s="205" t="str">
        <f>IFERROR(VLOOKUP($I202,'Institution Evaluation'!$A$55:$F$345,4,0),IFERROR(VLOOKUP($I202,'Privacy Analyst Evaluation'!$A$46:$F$120,4,0),""))&amp;""</f>
        <v/>
      </c>
      <c r="M202" s="205" t="str">
        <f>IFERROR(VLOOKUP($I202,'Institution Evaluation'!$A$55:$F$345,6,0),IFERROR(VLOOKUP($I202,'Privacy Analyst Evaluation'!$A$46:$F$120,6,0),""))&amp;""</f>
        <v/>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row>
    <row r="203" spans="1:338" x14ac:dyDescent="0.3">
      <c r="A203" s="205" t="str">
        <f>IFERROR(IF($A202+1&gt;'(backend scoring)'!$T$335,"",$A202+1),"")</f>
        <v/>
      </c>
      <c r="B203" s="205" t="str">
        <f>_xlfn.XLOOKUP($A203,'(backend scoring)'!$V$2:$V$333,'(backend scoring)'!$A$2:$A$333,"")</f>
        <v/>
      </c>
      <c r="C203" s="205" t="str">
        <f>IFERROR(VLOOKUP($B203,'Institution Evaluation'!$A$55:$F$345,2,0),IFERROR(VLOOKUP($B203,'Privacy Analyst Evaluation'!$A$46:$F$120,2,0),""))&amp;""</f>
        <v/>
      </c>
      <c r="D203" s="205" t="str">
        <f>IFERROR(VLOOKUP($B203,'Institution Evaluation'!$A$55:$F$345,3,0),IFERROR(VLOOKUP($B203,'Privacy Analyst Evaluation'!$A$46:$F$120,3,0),""))&amp;""</f>
        <v/>
      </c>
      <c r="E203" s="205" t="str">
        <f>IFERROR(VLOOKUP($B203,'Institution Evaluation'!$A$55:$F$345,4,0),IFERROR(VLOOKUP($B203,'Privacy Analyst Evaluation'!$A$46:$F$120,4,0),""))&amp;""</f>
        <v/>
      </c>
      <c r="F203" s="205" t="str">
        <f>IFERROR(VLOOKUP($B203,'Institution Evaluation'!$A$55:$F$345,6,0),IFERROR(VLOOKUP($B203,'Privacy Analyst Evaluation'!$A$46:$F$120,6,0),""))&amp;""</f>
        <v/>
      </c>
      <c r="G203" s="206"/>
      <c r="H203" s="205" t="str">
        <f>IFERROR(IF($H202+1&gt;'(backend scoring)'!$Q$335,"",$H202+1),"")</f>
        <v/>
      </c>
      <c r="I203" s="205" t="str">
        <f>_xlfn.XLOOKUP($H203,'(backend scoring)'!$S$2:$S$333,'(backend scoring)'!$A$2:$A$333,"")</f>
        <v/>
      </c>
      <c r="J203" s="205" t="str">
        <f>IFERROR(VLOOKUP($I203,'Institution Evaluation'!$A$55:$F$345,2,0),IFERROR(VLOOKUP($I203,'Privacy Analyst Evaluation'!$A$46:$F$120,2,0),""))</f>
        <v/>
      </c>
      <c r="K203" s="205" t="str">
        <f>IFERROR(VLOOKUP($I203,'Institution Evaluation'!$A$55:$F$345,3,0),IFERROR(VLOOKUP($I203,'Privacy Analyst Evaluation'!$A$46:$F$120,3,0),""))&amp;""</f>
        <v/>
      </c>
      <c r="L203" s="205" t="str">
        <f>IFERROR(VLOOKUP($I203,'Institution Evaluation'!$A$55:$F$345,4,0),IFERROR(VLOOKUP($I203,'Privacy Analyst Evaluation'!$A$46:$F$120,4,0),""))&amp;""</f>
        <v/>
      </c>
      <c r="M203" s="205" t="str">
        <f>IFERROR(VLOOKUP($I203,'Institution Evaluation'!$A$55:$F$345,6,0),IFERROR(VLOOKUP($I203,'Privacy Analyst Evaluation'!$A$46:$F$120,6,0),""))&amp;""</f>
        <v/>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row>
    <row r="204" spans="1:338" x14ac:dyDescent="0.3">
      <c r="A204" s="205" t="str">
        <f>IFERROR(IF($A203+1&gt;'(backend scoring)'!$T$335,"",$A203+1),"")</f>
        <v/>
      </c>
      <c r="B204" s="205" t="str">
        <f>_xlfn.XLOOKUP($A204,'(backend scoring)'!$V$2:$V$333,'(backend scoring)'!$A$2:$A$333,"")</f>
        <v/>
      </c>
      <c r="C204" s="205" t="str">
        <f>IFERROR(VLOOKUP($B204,'Institution Evaluation'!$A$55:$F$345,2,0),IFERROR(VLOOKUP($B204,'Privacy Analyst Evaluation'!$A$46:$F$120,2,0),""))&amp;""</f>
        <v/>
      </c>
      <c r="D204" s="205" t="str">
        <f>IFERROR(VLOOKUP($B204,'Institution Evaluation'!$A$55:$F$345,3,0),IFERROR(VLOOKUP($B204,'Privacy Analyst Evaluation'!$A$46:$F$120,3,0),""))&amp;""</f>
        <v/>
      </c>
      <c r="E204" s="205" t="str">
        <f>IFERROR(VLOOKUP($B204,'Institution Evaluation'!$A$55:$F$345,4,0),IFERROR(VLOOKUP($B204,'Privacy Analyst Evaluation'!$A$46:$F$120,4,0),""))&amp;""</f>
        <v/>
      </c>
      <c r="F204" s="205" t="str">
        <f>IFERROR(VLOOKUP($B204,'Institution Evaluation'!$A$55:$F$345,6,0),IFERROR(VLOOKUP($B204,'Privacy Analyst Evaluation'!$A$46:$F$120,6,0),""))&amp;""</f>
        <v/>
      </c>
      <c r="G204" s="206"/>
      <c r="H204" s="205" t="str">
        <f>IFERROR(IF($H203+1&gt;'(backend scoring)'!$Q$335,"",$H203+1),"")</f>
        <v/>
      </c>
      <c r="I204" s="205" t="str">
        <f>_xlfn.XLOOKUP($H204,'(backend scoring)'!$S$2:$S$333,'(backend scoring)'!$A$2:$A$333,"")</f>
        <v/>
      </c>
      <c r="J204" s="205" t="str">
        <f>IFERROR(VLOOKUP($I204,'Institution Evaluation'!$A$55:$F$345,2,0),IFERROR(VLOOKUP($I204,'Privacy Analyst Evaluation'!$A$46:$F$120,2,0),""))</f>
        <v/>
      </c>
      <c r="K204" s="205" t="str">
        <f>IFERROR(VLOOKUP($I204,'Institution Evaluation'!$A$55:$F$345,3,0),IFERROR(VLOOKUP($I204,'Privacy Analyst Evaluation'!$A$46:$F$120,3,0),""))&amp;""</f>
        <v/>
      </c>
      <c r="L204" s="205" t="str">
        <f>IFERROR(VLOOKUP($I204,'Institution Evaluation'!$A$55:$F$345,4,0),IFERROR(VLOOKUP($I204,'Privacy Analyst Evaluation'!$A$46:$F$120,4,0),""))&amp;""</f>
        <v/>
      </c>
      <c r="M204" s="205" t="str">
        <f>IFERROR(VLOOKUP($I204,'Institution Evaluation'!$A$55:$F$345,6,0),IFERROR(VLOOKUP($I204,'Privacy Analyst Evaluation'!$A$46:$F$120,6,0),""))&amp;""</f>
        <v/>
      </c>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row>
    <row r="205" spans="1:338" x14ac:dyDescent="0.3">
      <c r="A205" s="205" t="str">
        <f>IFERROR(IF($A204+1&gt;'(backend scoring)'!$T$335,"",$A204+1),"")</f>
        <v/>
      </c>
      <c r="B205" s="205" t="str">
        <f>_xlfn.XLOOKUP($A205,'(backend scoring)'!$V$2:$V$333,'(backend scoring)'!$A$2:$A$333,"")</f>
        <v/>
      </c>
      <c r="C205" s="205" t="str">
        <f>IFERROR(VLOOKUP($B205,'Institution Evaluation'!$A$55:$F$345,2,0),IFERROR(VLOOKUP($B205,'Privacy Analyst Evaluation'!$A$46:$F$120,2,0),""))&amp;""</f>
        <v/>
      </c>
      <c r="D205" s="205" t="str">
        <f>IFERROR(VLOOKUP($B205,'Institution Evaluation'!$A$55:$F$345,3,0),IFERROR(VLOOKUP($B205,'Privacy Analyst Evaluation'!$A$46:$F$120,3,0),""))&amp;""</f>
        <v/>
      </c>
      <c r="E205" s="205" t="str">
        <f>IFERROR(VLOOKUP($B205,'Institution Evaluation'!$A$55:$F$345,4,0),IFERROR(VLOOKUP($B205,'Privacy Analyst Evaluation'!$A$46:$F$120,4,0),""))&amp;""</f>
        <v/>
      </c>
      <c r="F205" s="205" t="str">
        <f>IFERROR(VLOOKUP($B205,'Institution Evaluation'!$A$55:$F$345,6,0),IFERROR(VLOOKUP($B205,'Privacy Analyst Evaluation'!$A$46:$F$120,6,0),""))&amp;""</f>
        <v/>
      </c>
      <c r="G205" s="206"/>
      <c r="H205" s="205" t="str">
        <f>IFERROR(IF($H204+1&gt;'(backend scoring)'!$Q$335,"",$H204+1),"")</f>
        <v/>
      </c>
      <c r="I205" s="205" t="str">
        <f>_xlfn.XLOOKUP($H205,'(backend scoring)'!$S$2:$S$333,'(backend scoring)'!$A$2:$A$333,"")</f>
        <v/>
      </c>
      <c r="J205" s="205" t="str">
        <f>IFERROR(VLOOKUP($I205,'Institution Evaluation'!$A$55:$F$345,2,0),IFERROR(VLOOKUP($I205,'Privacy Analyst Evaluation'!$A$46:$F$120,2,0),""))</f>
        <v/>
      </c>
      <c r="K205" s="205" t="str">
        <f>IFERROR(VLOOKUP($I205,'Institution Evaluation'!$A$55:$F$345,3,0),IFERROR(VLOOKUP($I205,'Privacy Analyst Evaluation'!$A$46:$F$120,3,0),""))&amp;""</f>
        <v/>
      </c>
      <c r="L205" s="205" t="str">
        <f>IFERROR(VLOOKUP($I205,'Institution Evaluation'!$A$55:$F$345,4,0),IFERROR(VLOOKUP($I205,'Privacy Analyst Evaluation'!$A$46:$F$120,4,0),""))&amp;""</f>
        <v/>
      </c>
      <c r="M205" s="205" t="str">
        <f>IFERROR(VLOOKUP($I205,'Institution Evaluation'!$A$55:$F$345,6,0),IFERROR(VLOOKUP($I205,'Privacy Analyst Evaluation'!$A$46:$F$120,6,0),""))&amp;""</f>
        <v/>
      </c>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row>
    <row r="206" spans="1:338" x14ac:dyDescent="0.3">
      <c r="A206" s="205" t="str">
        <f>IFERROR(IF($A205+1&gt;'(backend scoring)'!$T$335,"",$A205+1),"")</f>
        <v/>
      </c>
      <c r="B206" s="205" t="str">
        <f>_xlfn.XLOOKUP($A206,'(backend scoring)'!$V$2:$V$333,'(backend scoring)'!$A$2:$A$333,"")</f>
        <v/>
      </c>
      <c r="C206" s="205" t="str">
        <f>IFERROR(VLOOKUP($B206,'Institution Evaluation'!$A$55:$F$345,2,0),IFERROR(VLOOKUP($B206,'Privacy Analyst Evaluation'!$A$46:$F$120,2,0),""))&amp;""</f>
        <v/>
      </c>
      <c r="D206" s="205" t="str">
        <f>IFERROR(VLOOKUP($B206,'Institution Evaluation'!$A$55:$F$345,3,0),IFERROR(VLOOKUP($B206,'Privacy Analyst Evaluation'!$A$46:$F$120,3,0),""))&amp;""</f>
        <v/>
      </c>
      <c r="E206" s="205" t="str">
        <f>IFERROR(VLOOKUP($B206,'Institution Evaluation'!$A$55:$F$345,4,0),IFERROR(VLOOKUP($B206,'Privacy Analyst Evaluation'!$A$46:$F$120,4,0),""))&amp;""</f>
        <v/>
      </c>
      <c r="F206" s="205" t="str">
        <f>IFERROR(VLOOKUP($B206,'Institution Evaluation'!$A$55:$F$345,6,0),IFERROR(VLOOKUP($B206,'Privacy Analyst Evaluation'!$A$46:$F$120,6,0),""))&amp;""</f>
        <v/>
      </c>
      <c r="G206" s="206"/>
      <c r="H206" s="205" t="str">
        <f>IFERROR(IF($H205+1&gt;'(backend scoring)'!$Q$335,"",$H205+1),"")</f>
        <v/>
      </c>
      <c r="I206" s="205" t="str">
        <f>_xlfn.XLOOKUP($H206,'(backend scoring)'!$S$2:$S$333,'(backend scoring)'!$A$2:$A$333,"")</f>
        <v/>
      </c>
      <c r="J206" s="205" t="str">
        <f>IFERROR(VLOOKUP($I206,'Institution Evaluation'!$A$55:$F$345,2,0),IFERROR(VLOOKUP($I206,'Privacy Analyst Evaluation'!$A$46:$F$120,2,0),""))</f>
        <v/>
      </c>
      <c r="K206" s="205" t="str">
        <f>IFERROR(VLOOKUP($I206,'Institution Evaluation'!$A$55:$F$345,3,0),IFERROR(VLOOKUP($I206,'Privacy Analyst Evaluation'!$A$46:$F$120,3,0),""))&amp;""</f>
        <v/>
      </c>
      <c r="L206" s="205" t="str">
        <f>IFERROR(VLOOKUP($I206,'Institution Evaluation'!$A$55:$F$345,4,0),IFERROR(VLOOKUP($I206,'Privacy Analyst Evaluation'!$A$46:$F$120,4,0),""))&amp;""</f>
        <v/>
      </c>
      <c r="M206" s="205" t="str">
        <f>IFERROR(VLOOKUP($I206,'Institution Evaluation'!$A$55:$F$345,6,0),IFERROR(VLOOKUP($I206,'Privacy Analyst Evaluation'!$A$46:$F$120,6,0),""))&amp;""</f>
        <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row>
    <row r="207" spans="1:338" x14ac:dyDescent="0.3">
      <c r="A207" s="205" t="str">
        <f>IFERROR(IF($A206+1&gt;'(backend scoring)'!$T$335,"",$A206+1),"")</f>
        <v/>
      </c>
      <c r="B207" s="205" t="str">
        <f>_xlfn.XLOOKUP($A207,'(backend scoring)'!$V$2:$V$333,'(backend scoring)'!$A$2:$A$333,"")</f>
        <v/>
      </c>
      <c r="C207" s="205" t="str">
        <f>IFERROR(VLOOKUP($B207,'Institution Evaluation'!$A$55:$F$345,2,0),IFERROR(VLOOKUP($B207,'Privacy Analyst Evaluation'!$A$46:$F$120,2,0),""))&amp;""</f>
        <v/>
      </c>
      <c r="D207" s="205" t="str">
        <f>IFERROR(VLOOKUP($B207,'Institution Evaluation'!$A$55:$F$345,3,0),IFERROR(VLOOKUP($B207,'Privacy Analyst Evaluation'!$A$46:$F$120,3,0),""))&amp;""</f>
        <v/>
      </c>
      <c r="E207" s="205" t="str">
        <f>IFERROR(VLOOKUP($B207,'Institution Evaluation'!$A$55:$F$345,4,0),IFERROR(VLOOKUP($B207,'Privacy Analyst Evaluation'!$A$46:$F$120,4,0),""))&amp;""</f>
        <v/>
      </c>
      <c r="F207" s="205" t="str">
        <f>IFERROR(VLOOKUP($B207,'Institution Evaluation'!$A$55:$F$345,6,0),IFERROR(VLOOKUP($B207,'Privacy Analyst Evaluation'!$A$46:$F$120,6,0),""))&amp;""</f>
        <v/>
      </c>
      <c r="G207" s="206"/>
      <c r="H207" s="205" t="str">
        <f>IFERROR(IF($H206+1&gt;'(backend scoring)'!$Q$335,"",$H206+1),"")</f>
        <v/>
      </c>
      <c r="I207" s="205" t="str">
        <f>_xlfn.XLOOKUP($H207,'(backend scoring)'!$S$2:$S$333,'(backend scoring)'!$A$2:$A$333,"")</f>
        <v/>
      </c>
      <c r="J207" s="205" t="str">
        <f>IFERROR(VLOOKUP($I207,'Institution Evaluation'!$A$55:$F$345,2,0),IFERROR(VLOOKUP($I207,'Privacy Analyst Evaluation'!$A$46:$F$120,2,0),""))</f>
        <v/>
      </c>
      <c r="K207" s="205" t="str">
        <f>IFERROR(VLOOKUP($I207,'Institution Evaluation'!$A$55:$F$345,3,0),IFERROR(VLOOKUP($I207,'Privacy Analyst Evaluation'!$A$46:$F$120,3,0),""))&amp;""</f>
        <v/>
      </c>
      <c r="L207" s="205" t="str">
        <f>IFERROR(VLOOKUP($I207,'Institution Evaluation'!$A$55:$F$345,4,0),IFERROR(VLOOKUP($I207,'Privacy Analyst Evaluation'!$A$46:$F$120,4,0),""))&amp;""</f>
        <v/>
      </c>
      <c r="M207" s="205" t="str">
        <f>IFERROR(VLOOKUP($I207,'Institution Evaluation'!$A$55:$F$345,6,0),IFERROR(VLOOKUP($I207,'Privacy Analyst Evaluation'!$A$46:$F$120,6,0),""))&amp;""</f>
        <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row>
    <row r="208" spans="1:338" x14ac:dyDescent="0.3">
      <c r="A208" s="205" t="str">
        <f>IFERROR(IF($A207+1&gt;'(backend scoring)'!$T$335,"",$A207+1),"")</f>
        <v/>
      </c>
      <c r="B208" s="205" t="str">
        <f>_xlfn.XLOOKUP($A208,'(backend scoring)'!$V$2:$V$333,'(backend scoring)'!$A$2:$A$333,"")</f>
        <v/>
      </c>
      <c r="C208" s="205" t="str">
        <f>IFERROR(VLOOKUP($B208,'Institution Evaluation'!$A$55:$F$345,2,0),IFERROR(VLOOKUP($B208,'Privacy Analyst Evaluation'!$A$46:$F$120,2,0),""))&amp;""</f>
        <v/>
      </c>
      <c r="D208" s="205" t="str">
        <f>IFERROR(VLOOKUP($B208,'Institution Evaluation'!$A$55:$F$345,3,0),IFERROR(VLOOKUP($B208,'Privacy Analyst Evaluation'!$A$46:$F$120,3,0),""))&amp;""</f>
        <v/>
      </c>
      <c r="E208" s="205" t="str">
        <f>IFERROR(VLOOKUP($B208,'Institution Evaluation'!$A$55:$F$345,4,0),IFERROR(VLOOKUP($B208,'Privacy Analyst Evaluation'!$A$46:$F$120,4,0),""))&amp;""</f>
        <v/>
      </c>
      <c r="F208" s="205" t="str">
        <f>IFERROR(VLOOKUP($B208,'Institution Evaluation'!$A$55:$F$345,6,0),IFERROR(VLOOKUP($B208,'Privacy Analyst Evaluation'!$A$46:$F$120,6,0),""))&amp;""</f>
        <v/>
      </c>
      <c r="G208" s="206"/>
      <c r="H208" s="205" t="str">
        <f>IFERROR(IF($H207+1&gt;'(backend scoring)'!$Q$335,"",$H207+1),"")</f>
        <v/>
      </c>
      <c r="I208" s="205" t="str">
        <f>_xlfn.XLOOKUP($H208,'(backend scoring)'!$S$2:$S$333,'(backend scoring)'!$A$2:$A$333,"")</f>
        <v/>
      </c>
      <c r="J208" s="205" t="str">
        <f>IFERROR(VLOOKUP($I208,'Institution Evaluation'!$A$55:$F$345,2,0),IFERROR(VLOOKUP($I208,'Privacy Analyst Evaluation'!$A$46:$F$120,2,0),""))</f>
        <v/>
      </c>
      <c r="K208" s="205" t="str">
        <f>IFERROR(VLOOKUP($I208,'Institution Evaluation'!$A$55:$F$345,3,0),IFERROR(VLOOKUP($I208,'Privacy Analyst Evaluation'!$A$46:$F$120,3,0),""))&amp;""</f>
        <v/>
      </c>
      <c r="L208" s="205" t="str">
        <f>IFERROR(VLOOKUP($I208,'Institution Evaluation'!$A$55:$F$345,4,0),IFERROR(VLOOKUP($I208,'Privacy Analyst Evaluation'!$A$46:$F$120,4,0),""))&amp;""</f>
        <v/>
      </c>
      <c r="M208" s="205" t="str">
        <f>IFERROR(VLOOKUP($I208,'Institution Evaluation'!$A$55:$F$345,6,0),IFERROR(VLOOKUP($I208,'Privacy Analyst Evaluation'!$A$46:$F$120,6,0),""))&amp;""</f>
        <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row>
    <row r="209" spans="1:338" x14ac:dyDescent="0.3">
      <c r="A209" s="205" t="str">
        <f>IFERROR(IF($A208+1&gt;'(backend scoring)'!$T$335,"",$A208+1),"")</f>
        <v/>
      </c>
      <c r="B209" s="205" t="str">
        <f>_xlfn.XLOOKUP($A209,'(backend scoring)'!$V$2:$V$333,'(backend scoring)'!$A$2:$A$333,"")</f>
        <v/>
      </c>
      <c r="C209" s="205" t="str">
        <f>IFERROR(VLOOKUP($B209,'Institution Evaluation'!$A$55:$F$345,2,0),IFERROR(VLOOKUP($B209,'Privacy Analyst Evaluation'!$A$46:$F$120,2,0),""))&amp;""</f>
        <v/>
      </c>
      <c r="D209" s="205" t="str">
        <f>IFERROR(VLOOKUP($B209,'Institution Evaluation'!$A$55:$F$345,3,0),IFERROR(VLOOKUP($B209,'Privacy Analyst Evaluation'!$A$46:$F$120,3,0),""))&amp;""</f>
        <v/>
      </c>
      <c r="E209" s="205" t="str">
        <f>IFERROR(VLOOKUP($B209,'Institution Evaluation'!$A$55:$F$345,4,0),IFERROR(VLOOKUP($B209,'Privacy Analyst Evaluation'!$A$46:$F$120,4,0),""))&amp;""</f>
        <v/>
      </c>
      <c r="F209" s="205" t="str">
        <f>IFERROR(VLOOKUP($B209,'Institution Evaluation'!$A$55:$F$345,6,0),IFERROR(VLOOKUP($B209,'Privacy Analyst Evaluation'!$A$46:$F$120,6,0),""))&amp;""</f>
        <v/>
      </c>
      <c r="G209" s="206"/>
      <c r="H209" s="205" t="str">
        <f>IFERROR(IF($H208+1&gt;'(backend scoring)'!$Q$335,"",$H208+1),"")</f>
        <v/>
      </c>
      <c r="I209" s="205" t="str">
        <f>_xlfn.XLOOKUP($H209,'(backend scoring)'!$S$2:$S$333,'(backend scoring)'!$A$2:$A$333,"")</f>
        <v/>
      </c>
      <c r="J209" s="205" t="str">
        <f>IFERROR(VLOOKUP($I209,'Institution Evaluation'!$A$55:$F$345,2,0),IFERROR(VLOOKUP($I209,'Privacy Analyst Evaluation'!$A$46:$F$120,2,0),""))</f>
        <v/>
      </c>
      <c r="K209" s="205" t="str">
        <f>IFERROR(VLOOKUP($I209,'Institution Evaluation'!$A$55:$F$345,3,0),IFERROR(VLOOKUP($I209,'Privacy Analyst Evaluation'!$A$46:$F$120,3,0),""))&amp;""</f>
        <v/>
      </c>
      <c r="L209" s="205" t="str">
        <f>IFERROR(VLOOKUP($I209,'Institution Evaluation'!$A$55:$F$345,4,0),IFERROR(VLOOKUP($I209,'Privacy Analyst Evaluation'!$A$46:$F$120,4,0),""))&amp;""</f>
        <v/>
      </c>
      <c r="M209" s="205" t="str">
        <f>IFERROR(VLOOKUP($I209,'Institution Evaluation'!$A$55:$F$345,6,0),IFERROR(VLOOKUP($I209,'Privacy Analyst Evaluation'!$A$46:$F$120,6,0),""))&amp;""</f>
        <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row>
    <row r="210" spans="1:338" x14ac:dyDescent="0.3">
      <c r="A210" s="205" t="str">
        <f>IFERROR(IF($A209+1&gt;'(backend scoring)'!$T$335,"",$A209+1),"")</f>
        <v/>
      </c>
      <c r="B210" s="205" t="str">
        <f>_xlfn.XLOOKUP($A210,'(backend scoring)'!$V$2:$V$333,'(backend scoring)'!$A$2:$A$333,"")</f>
        <v/>
      </c>
      <c r="C210" s="205" t="str">
        <f>IFERROR(VLOOKUP($B210,'Institution Evaluation'!$A$55:$F$345,2,0),IFERROR(VLOOKUP($B210,'Privacy Analyst Evaluation'!$A$46:$F$120,2,0),""))&amp;""</f>
        <v/>
      </c>
      <c r="D210" s="205" t="str">
        <f>IFERROR(VLOOKUP($B210,'Institution Evaluation'!$A$55:$F$345,3,0),IFERROR(VLOOKUP($B210,'Privacy Analyst Evaluation'!$A$46:$F$120,3,0),""))&amp;""</f>
        <v/>
      </c>
      <c r="E210" s="205" t="str">
        <f>IFERROR(VLOOKUP($B210,'Institution Evaluation'!$A$55:$F$345,4,0),IFERROR(VLOOKUP($B210,'Privacy Analyst Evaluation'!$A$46:$F$120,4,0),""))&amp;""</f>
        <v/>
      </c>
      <c r="F210" s="205" t="str">
        <f>IFERROR(VLOOKUP($B210,'Institution Evaluation'!$A$55:$F$345,6,0),IFERROR(VLOOKUP($B210,'Privacy Analyst Evaluation'!$A$46:$F$120,6,0),""))&amp;""</f>
        <v/>
      </c>
      <c r="G210" s="206"/>
      <c r="H210" s="205" t="str">
        <f>IFERROR(IF($H209+1&gt;'(backend scoring)'!$Q$335,"",$H209+1),"")</f>
        <v/>
      </c>
      <c r="I210" s="205" t="str">
        <f>_xlfn.XLOOKUP($H210,'(backend scoring)'!$S$2:$S$333,'(backend scoring)'!$A$2:$A$333,"")</f>
        <v/>
      </c>
      <c r="J210" s="205" t="str">
        <f>IFERROR(VLOOKUP($I210,'Institution Evaluation'!$A$55:$F$345,2,0),IFERROR(VLOOKUP($I210,'Privacy Analyst Evaluation'!$A$46:$F$120,2,0),""))</f>
        <v/>
      </c>
      <c r="K210" s="205" t="str">
        <f>IFERROR(VLOOKUP($I210,'Institution Evaluation'!$A$55:$F$345,3,0),IFERROR(VLOOKUP($I210,'Privacy Analyst Evaluation'!$A$46:$F$120,3,0),""))&amp;""</f>
        <v/>
      </c>
      <c r="L210" s="205" t="str">
        <f>IFERROR(VLOOKUP($I210,'Institution Evaluation'!$A$55:$F$345,4,0),IFERROR(VLOOKUP($I210,'Privacy Analyst Evaluation'!$A$46:$F$120,4,0),""))&amp;""</f>
        <v/>
      </c>
      <c r="M210" s="205" t="str">
        <f>IFERROR(VLOOKUP($I210,'Institution Evaluation'!$A$55:$F$345,6,0),IFERROR(VLOOKUP($I210,'Privacy Analyst Evaluation'!$A$46:$F$120,6,0),""))&amp;""</f>
        <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row>
    <row r="211" spans="1:338" x14ac:dyDescent="0.3">
      <c r="A211" s="205" t="str">
        <f>IFERROR(IF($A210+1&gt;'(backend scoring)'!$T$335,"",$A210+1),"")</f>
        <v/>
      </c>
      <c r="B211" s="205" t="str">
        <f>_xlfn.XLOOKUP($A211,'(backend scoring)'!$V$2:$V$333,'(backend scoring)'!$A$2:$A$333,"")</f>
        <v/>
      </c>
      <c r="C211" s="205" t="str">
        <f>IFERROR(VLOOKUP($B211,'Institution Evaluation'!$A$55:$F$345,2,0),IFERROR(VLOOKUP($B211,'Privacy Analyst Evaluation'!$A$46:$F$120,2,0),""))&amp;""</f>
        <v/>
      </c>
      <c r="D211" s="205" t="str">
        <f>IFERROR(VLOOKUP($B211,'Institution Evaluation'!$A$55:$F$345,3,0),IFERROR(VLOOKUP($B211,'Privacy Analyst Evaluation'!$A$46:$F$120,3,0),""))&amp;""</f>
        <v/>
      </c>
      <c r="E211" s="205" t="str">
        <f>IFERROR(VLOOKUP($B211,'Institution Evaluation'!$A$55:$F$345,4,0),IFERROR(VLOOKUP($B211,'Privacy Analyst Evaluation'!$A$46:$F$120,4,0),""))&amp;""</f>
        <v/>
      </c>
      <c r="F211" s="205" t="str">
        <f>IFERROR(VLOOKUP($B211,'Institution Evaluation'!$A$55:$F$345,6,0),IFERROR(VLOOKUP($B211,'Privacy Analyst Evaluation'!$A$46:$F$120,6,0),""))&amp;""</f>
        <v/>
      </c>
      <c r="G211" s="206"/>
      <c r="H211" s="205" t="str">
        <f>IFERROR(IF($H210+1&gt;'(backend scoring)'!$Q$335,"",$H210+1),"")</f>
        <v/>
      </c>
      <c r="I211" s="205" t="str">
        <f>_xlfn.XLOOKUP($H211,'(backend scoring)'!$S$2:$S$333,'(backend scoring)'!$A$2:$A$333,"")</f>
        <v/>
      </c>
      <c r="J211" s="205" t="str">
        <f>IFERROR(VLOOKUP($I211,'Institution Evaluation'!$A$55:$F$345,2,0),IFERROR(VLOOKUP($I211,'Privacy Analyst Evaluation'!$A$46:$F$120,2,0),""))</f>
        <v/>
      </c>
      <c r="K211" s="205" t="str">
        <f>IFERROR(VLOOKUP($I211,'Institution Evaluation'!$A$55:$F$345,3,0),IFERROR(VLOOKUP($I211,'Privacy Analyst Evaluation'!$A$46:$F$120,3,0),""))&amp;""</f>
        <v/>
      </c>
      <c r="L211" s="205" t="str">
        <f>IFERROR(VLOOKUP($I211,'Institution Evaluation'!$A$55:$F$345,4,0),IFERROR(VLOOKUP($I211,'Privacy Analyst Evaluation'!$A$46:$F$120,4,0),""))&amp;""</f>
        <v/>
      </c>
      <c r="M211" s="205" t="str">
        <f>IFERROR(VLOOKUP($I211,'Institution Evaluation'!$A$55:$F$345,6,0),IFERROR(VLOOKUP($I211,'Privacy Analyst Evaluation'!$A$46:$F$120,6,0),""))&amp;""</f>
        <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row>
    <row r="212" spans="1:338" x14ac:dyDescent="0.3">
      <c r="A212" s="205" t="str">
        <f>IFERROR(IF($A211+1&gt;'(backend scoring)'!$T$335,"",$A211+1),"")</f>
        <v/>
      </c>
      <c r="B212" s="205" t="str">
        <f>_xlfn.XLOOKUP($A212,'(backend scoring)'!$V$2:$V$333,'(backend scoring)'!$A$2:$A$333,"")</f>
        <v/>
      </c>
      <c r="C212" s="205" t="str">
        <f>IFERROR(VLOOKUP($B212,'Institution Evaluation'!$A$55:$F$345,2,0),IFERROR(VLOOKUP($B212,'Privacy Analyst Evaluation'!$A$46:$F$120,2,0),""))&amp;""</f>
        <v/>
      </c>
      <c r="D212" s="205" t="str">
        <f>IFERROR(VLOOKUP($B212,'Institution Evaluation'!$A$55:$F$345,3,0),IFERROR(VLOOKUP($B212,'Privacy Analyst Evaluation'!$A$46:$F$120,3,0),""))&amp;""</f>
        <v/>
      </c>
      <c r="E212" s="205" t="str">
        <f>IFERROR(VLOOKUP($B212,'Institution Evaluation'!$A$55:$F$345,4,0),IFERROR(VLOOKUP($B212,'Privacy Analyst Evaluation'!$A$46:$F$120,4,0),""))&amp;""</f>
        <v/>
      </c>
      <c r="F212" s="205" t="str">
        <f>IFERROR(VLOOKUP($B212,'Institution Evaluation'!$A$55:$F$345,6,0),IFERROR(VLOOKUP($B212,'Privacy Analyst Evaluation'!$A$46:$F$120,6,0),""))&amp;""</f>
        <v/>
      </c>
      <c r="G212" s="206"/>
      <c r="H212" s="205" t="str">
        <f>IFERROR(IF($H211+1&gt;'(backend scoring)'!$Q$335,"",$H211+1),"")</f>
        <v/>
      </c>
      <c r="I212" s="205" t="str">
        <f>_xlfn.XLOOKUP($H212,'(backend scoring)'!$S$2:$S$333,'(backend scoring)'!$A$2:$A$333,"")</f>
        <v/>
      </c>
      <c r="J212" s="205" t="str">
        <f>IFERROR(VLOOKUP($I212,'Institution Evaluation'!$A$55:$F$345,2,0),IFERROR(VLOOKUP($I212,'Privacy Analyst Evaluation'!$A$46:$F$120,2,0),""))</f>
        <v/>
      </c>
      <c r="K212" s="205" t="str">
        <f>IFERROR(VLOOKUP($I212,'Institution Evaluation'!$A$55:$F$345,3,0),IFERROR(VLOOKUP($I212,'Privacy Analyst Evaluation'!$A$46:$F$120,3,0),""))&amp;""</f>
        <v/>
      </c>
      <c r="L212" s="205" t="str">
        <f>IFERROR(VLOOKUP($I212,'Institution Evaluation'!$A$55:$F$345,4,0),IFERROR(VLOOKUP($I212,'Privacy Analyst Evaluation'!$A$46:$F$120,4,0),""))&amp;""</f>
        <v/>
      </c>
      <c r="M212" s="205" t="str">
        <f>IFERROR(VLOOKUP($I212,'Institution Evaluation'!$A$55:$F$345,6,0),IFERROR(VLOOKUP($I212,'Privacy Analyst Evaluation'!$A$46:$F$120,6,0),""))&amp;""</f>
        <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row>
    <row r="213" spans="1:338" x14ac:dyDescent="0.3">
      <c r="A213" s="205" t="str">
        <f>IFERROR(IF($A212+1&gt;'(backend scoring)'!$T$335,"",$A212+1),"")</f>
        <v/>
      </c>
      <c r="B213" s="205" t="str">
        <f>_xlfn.XLOOKUP($A213,'(backend scoring)'!$V$2:$V$333,'(backend scoring)'!$A$2:$A$333,"")</f>
        <v/>
      </c>
      <c r="C213" s="205" t="str">
        <f>IFERROR(VLOOKUP($B213,'Institution Evaluation'!$A$55:$F$345,2,0),IFERROR(VLOOKUP($B213,'Privacy Analyst Evaluation'!$A$46:$F$120,2,0),""))&amp;""</f>
        <v/>
      </c>
      <c r="D213" s="205" t="str">
        <f>IFERROR(VLOOKUP($B213,'Institution Evaluation'!$A$55:$F$345,3,0),IFERROR(VLOOKUP($B213,'Privacy Analyst Evaluation'!$A$46:$F$120,3,0),""))&amp;""</f>
        <v/>
      </c>
      <c r="E213" s="205" t="str">
        <f>IFERROR(VLOOKUP($B213,'Institution Evaluation'!$A$55:$F$345,4,0),IFERROR(VLOOKUP($B213,'Privacy Analyst Evaluation'!$A$46:$F$120,4,0),""))&amp;""</f>
        <v/>
      </c>
      <c r="F213" s="205" t="str">
        <f>IFERROR(VLOOKUP($B213,'Institution Evaluation'!$A$55:$F$345,6,0),IFERROR(VLOOKUP($B213,'Privacy Analyst Evaluation'!$A$46:$F$120,6,0),""))&amp;""</f>
        <v/>
      </c>
      <c r="G213" s="206"/>
      <c r="H213" s="205" t="str">
        <f>IFERROR(IF($H212+1&gt;'(backend scoring)'!$Q$335,"",$H212+1),"")</f>
        <v/>
      </c>
      <c r="I213" s="205" t="str">
        <f>_xlfn.XLOOKUP($H213,'(backend scoring)'!$S$2:$S$333,'(backend scoring)'!$A$2:$A$333,"")</f>
        <v/>
      </c>
      <c r="J213" s="205" t="str">
        <f>IFERROR(VLOOKUP($I213,'Institution Evaluation'!$A$55:$F$345,2,0),IFERROR(VLOOKUP($I213,'Privacy Analyst Evaluation'!$A$46:$F$120,2,0),""))</f>
        <v/>
      </c>
      <c r="K213" s="205" t="str">
        <f>IFERROR(VLOOKUP($I213,'Institution Evaluation'!$A$55:$F$345,3,0),IFERROR(VLOOKUP($I213,'Privacy Analyst Evaluation'!$A$46:$F$120,3,0),""))&amp;""</f>
        <v/>
      </c>
      <c r="L213" s="205" t="str">
        <f>IFERROR(VLOOKUP($I213,'Institution Evaluation'!$A$55:$F$345,4,0),IFERROR(VLOOKUP($I213,'Privacy Analyst Evaluation'!$A$46:$F$120,4,0),""))&amp;""</f>
        <v/>
      </c>
      <c r="M213" s="205" t="str">
        <f>IFERROR(VLOOKUP($I213,'Institution Evaluation'!$A$55:$F$345,6,0),IFERROR(VLOOKUP($I213,'Privacy Analyst Evaluation'!$A$46:$F$120,6,0),""))&amp;""</f>
        <v/>
      </c>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row>
    <row r="214" spans="1:338" x14ac:dyDescent="0.3">
      <c r="A214" s="205" t="str">
        <f>IFERROR(IF($A213+1&gt;'(backend scoring)'!$T$335,"",$A213+1),"")</f>
        <v/>
      </c>
      <c r="B214" s="205" t="str">
        <f>_xlfn.XLOOKUP($A214,'(backend scoring)'!$V$2:$V$333,'(backend scoring)'!$A$2:$A$333,"")</f>
        <v/>
      </c>
      <c r="C214" s="205" t="str">
        <f>IFERROR(VLOOKUP($B214,'Institution Evaluation'!$A$55:$F$345,2,0),IFERROR(VLOOKUP($B214,'Privacy Analyst Evaluation'!$A$46:$F$120,2,0),""))&amp;""</f>
        <v/>
      </c>
      <c r="D214" s="205" t="str">
        <f>IFERROR(VLOOKUP($B214,'Institution Evaluation'!$A$55:$F$345,3,0),IFERROR(VLOOKUP($B214,'Privacy Analyst Evaluation'!$A$46:$F$120,3,0),""))&amp;""</f>
        <v/>
      </c>
      <c r="E214" s="205" t="str">
        <f>IFERROR(VLOOKUP($B214,'Institution Evaluation'!$A$55:$F$345,4,0),IFERROR(VLOOKUP($B214,'Privacy Analyst Evaluation'!$A$46:$F$120,4,0),""))&amp;""</f>
        <v/>
      </c>
      <c r="F214" s="205" t="str">
        <f>IFERROR(VLOOKUP($B214,'Institution Evaluation'!$A$55:$F$345,6,0),IFERROR(VLOOKUP($B214,'Privacy Analyst Evaluation'!$A$46:$F$120,6,0),""))&amp;""</f>
        <v/>
      </c>
      <c r="G214" s="206"/>
      <c r="H214" s="205" t="str">
        <f>IFERROR(IF($H213+1&gt;'(backend scoring)'!$Q$335,"",$H213+1),"")</f>
        <v/>
      </c>
      <c r="I214" s="205" t="str">
        <f>_xlfn.XLOOKUP($H214,'(backend scoring)'!$S$2:$S$333,'(backend scoring)'!$A$2:$A$333,"")</f>
        <v/>
      </c>
      <c r="J214" s="205" t="str">
        <f>IFERROR(VLOOKUP($I214,'Institution Evaluation'!$A$55:$F$345,2,0),IFERROR(VLOOKUP($I214,'Privacy Analyst Evaluation'!$A$46:$F$120,2,0),""))</f>
        <v/>
      </c>
      <c r="K214" s="205" t="str">
        <f>IFERROR(VLOOKUP($I214,'Institution Evaluation'!$A$55:$F$345,3,0),IFERROR(VLOOKUP($I214,'Privacy Analyst Evaluation'!$A$46:$F$120,3,0),""))&amp;""</f>
        <v/>
      </c>
      <c r="L214" s="205" t="str">
        <f>IFERROR(VLOOKUP($I214,'Institution Evaluation'!$A$55:$F$345,4,0),IFERROR(VLOOKUP($I214,'Privacy Analyst Evaluation'!$A$46:$F$120,4,0),""))&amp;""</f>
        <v/>
      </c>
      <c r="M214" s="205" t="str">
        <f>IFERROR(VLOOKUP($I214,'Institution Evaluation'!$A$55:$F$345,6,0),IFERROR(VLOOKUP($I214,'Privacy Analyst Evaluation'!$A$46:$F$120,6,0),""))&amp;""</f>
        <v/>
      </c>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row>
    <row r="215" spans="1:338" x14ac:dyDescent="0.3">
      <c r="A215" s="205" t="str">
        <f>IFERROR(IF($A214+1&gt;'(backend scoring)'!$T$335,"",$A214+1),"")</f>
        <v/>
      </c>
      <c r="B215" s="205" t="str">
        <f>_xlfn.XLOOKUP($A215,'(backend scoring)'!$V$2:$V$333,'(backend scoring)'!$A$2:$A$333,"")</f>
        <v/>
      </c>
      <c r="C215" s="205" t="str">
        <f>IFERROR(VLOOKUP($B215,'Institution Evaluation'!$A$55:$F$345,2,0),IFERROR(VLOOKUP($B215,'Privacy Analyst Evaluation'!$A$46:$F$120,2,0),""))&amp;""</f>
        <v/>
      </c>
      <c r="D215" s="205" t="str">
        <f>IFERROR(VLOOKUP($B215,'Institution Evaluation'!$A$55:$F$345,3,0),IFERROR(VLOOKUP($B215,'Privacy Analyst Evaluation'!$A$46:$F$120,3,0),""))&amp;""</f>
        <v/>
      </c>
      <c r="E215" s="205" t="str">
        <f>IFERROR(VLOOKUP($B215,'Institution Evaluation'!$A$55:$F$345,4,0),IFERROR(VLOOKUP($B215,'Privacy Analyst Evaluation'!$A$46:$F$120,4,0),""))&amp;""</f>
        <v/>
      </c>
      <c r="F215" s="205" t="str">
        <f>IFERROR(VLOOKUP($B215,'Institution Evaluation'!$A$55:$F$345,6,0),IFERROR(VLOOKUP($B215,'Privacy Analyst Evaluation'!$A$46:$F$120,6,0),""))&amp;""</f>
        <v/>
      </c>
      <c r="G215" s="206"/>
      <c r="H215" s="205" t="str">
        <f>IFERROR(IF($H214+1&gt;'(backend scoring)'!$Q$335,"",$H214+1),"")</f>
        <v/>
      </c>
      <c r="I215" s="205" t="str">
        <f>_xlfn.XLOOKUP($H215,'(backend scoring)'!$S$2:$S$333,'(backend scoring)'!$A$2:$A$333,"")</f>
        <v/>
      </c>
      <c r="J215" s="205" t="str">
        <f>IFERROR(VLOOKUP($I215,'Institution Evaluation'!$A$55:$F$345,2,0),IFERROR(VLOOKUP($I215,'Privacy Analyst Evaluation'!$A$46:$F$120,2,0),""))</f>
        <v/>
      </c>
      <c r="K215" s="205" t="str">
        <f>IFERROR(VLOOKUP($I215,'Institution Evaluation'!$A$55:$F$345,3,0),IFERROR(VLOOKUP($I215,'Privacy Analyst Evaluation'!$A$46:$F$120,3,0),""))&amp;""</f>
        <v/>
      </c>
      <c r="L215" s="205" t="str">
        <f>IFERROR(VLOOKUP($I215,'Institution Evaluation'!$A$55:$F$345,4,0),IFERROR(VLOOKUP($I215,'Privacy Analyst Evaluation'!$A$46:$F$120,4,0),""))&amp;""</f>
        <v/>
      </c>
      <c r="M215" s="205" t="str">
        <f>IFERROR(VLOOKUP($I215,'Institution Evaluation'!$A$55:$F$345,6,0),IFERROR(VLOOKUP($I215,'Privacy Analyst Evaluation'!$A$46:$F$120,6,0),""))&amp;""</f>
        <v/>
      </c>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row>
    <row r="216" spans="1:338" x14ac:dyDescent="0.3">
      <c r="A216" s="205" t="str">
        <f>IFERROR(IF($A215+1&gt;'(backend scoring)'!$T$335,"",$A215+1),"")</f>
        <v/>
      </c>
      <c r="B216" s="205" t="str">
        <f>_xlfn.XLOOKUP($A216,'(backend scoring)'!$V$2:$V$333,'(backend scoring)'!$A$2:$A$333,"")</f>
        <v/>
      </c>
      <c r="C216" s="205" t="str">
        <f>IFERROR(VLOOKUP($B216,'Institution Evaluation'!$A$55:$F$345,2,0),IFERROR(VLOOKUP($B216,'Privacy Analyst Evaluation'!$A$46:$F$120,2,0),""))&amp;""</f>
        <v/>
      </c>
      <c r="D216" s="205" t="str">
        <f>IFERROR(VLOOKUP($B216,'Institution Evaluation'!$A$55:$F$345,3,0),IFERROR(VLOOKUP($B216,'Privacy Analyst Evaluation'!$A$46:$F$120,3,0),""))&amp;""</f>
        <v/>
      </c>
      <c r="E216" s="205" t="str">
        <f>IFERROR(VLOOKUP($B216,'Institution Evaluation'!$A$55:$F$345,4,0),IFERROR(VLOOKUP($B216,'Privacy Analyst Evaluation'!$A$46:$F$120,4,0),""))&amp;""</f>
        <v/>
      </c>
      <c r="F216" s="205" t="str">
        <f>IFERROR(VLOOKUP($B216,'Institution Evaluation'!$A$55:$F$345,6,0),IFERROR(VLOOKUP($B216,'Privacy Analyst Evaluation'!$A$46:$F$120,6,0),""))&amp;""</f>
        <v/>
      </c>
      <c r="G216" s="206"/>
      <c r="H216" s="205" t="str">
        <f>IFERROR(IF($H215+1&gt;'(backend scoring)'!$Q$335,"",$H215+1),"")</f>
        <v/>
      </c>
      <c r="I216" s="205" t="str">
        <f>_xlfn.XLOOKUP($H216,'(backend scoring)'!$S$2:$S$333,'(backend scoring)'!$A$2:$A$333,"")</f>
        <v/>
      </c>
      <c r="J216" s="205" t="str">
        <f>IFERROR(VLOOKUP($I216,'Institution Evaluation'!$A$55:$F$345,2,0),IFERROR(VLOOKUP($I216,'Privacy Analyst Evaluation'!$A$46:$F$120,2,0),""))</f>
        <v/>
      </c>
      <c r="K216" s="205" t="str">
        <f>IFERROR(VLOOKUP($I216,'Institution Evaluation'!$A$55:$F$345,3,0),IFERROR(VLOOKUP($I216,'Privacy Analyst Evaluation'!$A$46:$F$120,3,0),""))&amp;""</f>
        <v/>
      </c>
      <c r="L216" s="205" t="str">
        <f>IFERROR(VLOOKUP($I216,'Institution Evaluation'!$A$55:$F$345,4,0),IFERROR(VLOOKUP($I216,'Privacy Analyst Evaluation'!$A$46:$F$120,4,0),""))&amp;""</f>
        <v/>
      </c>
      <c r="M216" s="205" t="str">
        <f>IFERROR(VLOOKUP($I216,'Institution Evaluation'!$A$55:$F$345,6,0),IFERROR(VLOOKUP($I216,'Privacy Analyst Evaluation'!$A$46:$F$120,6,0),""))&amp;""</f>
        <v/>
      </c>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row>
    <row r="217" spans="1:338" x14ac:dyDescent="0.3">
      <c r="A217" s="205" t="str">
        <f>IFERROR(IF($A216+1&gt;'(backend scoring)'!$T$335,"",$A216+1),"")</f>
        <v/>
      </c>
      <c r="B217" s="205" t="str">
        <f>_xlfn.XLOOKUP($A217,'(backend scoring)'!$V$2:$V$333,'(backend scoring)'!$A$2:$A$333,"")</f>
        <v/>
      </c>
      <c r="C217" s="205" t="str">
        <f>IFERROR(VLOOKUP($B217,'Institution Evaluation'!$A$55:$F$345,2,0),IFERROR(VLOOKUP($B217,'Privacy Analyst Evaluation'!$A$46:$F$120,2,0),""))&amp;""</f>
        <v/>
      </c>
      <c r="D217" s="205" t="str">
        <f>IFERROR(VLOOKUP($B217,'Institution Evaluation'!$A$55:$F$345,3,0),IFERROR(VLOOKUP($B217,'Privacy Analyst Evaluation'!$A$46:$F$120,3,0),""))&amp;""</f>
        <v/>
      </c>
      <c r="E217" s="205" t="str">
        <f>IFERROR(VLOOKUP($B217,'Institution Evaluation'!$A$55:$F$345,4,0),IFERROR(VLOOKUP($B217,'Privacy Analyst Evaluation'!$A$46:$F$120,4,0),""))&amp;""</f>
        <v/>
      </c>
      <c r="F217" s="205" t="str">
        <f>IFERROR(VLOOKUP($B217,'Institution Evaluation'!$A$55:$F$345,6,0),IFERROR(VLOOKUP($B217,'Privacy Analyst Evaluation'!$A$46:$F$120,6,0),""))&amp;""</f>
        <v/>
      </c>
      <c r="G217" s="206"/>
      <c r="H217" s="205" t="str">
        <f>IFERROR(IF($H216+1&gt;'(backend scoring)'!$Q$335,"",$H216+1),"")</f>
        <v/>
      </c>
      <c r="I217" s="205" t="str">
        <f>_xlfn.XLOOKUP($H217,'(backend scoring)'!$S$2:$S$333,'(backend scoring)'!$A$2:$A$333,"")</f>
        <v/>
      </c>
      <c r="J217" s="205" t="str">
        <f>IFERROR(VLOOKUP($I217,'Institution Evaluation'!$A$55:$F$345,2,0),IFERROR(VLOOKUP($I217,'Privacy Analyst Evaluation'!$A$46:$F$120,2,0),""))</f>
        <v/>
      </c>
      <c r="K217" s="205" t="str">
        <f>IFERROR(VLOOKUP($I217,'Institution Evaluation'!$A$55:$F$345,3,0),IFERROR(VLOOKUP($I217,'Privacy Analyst Evaluation'!$A$46:$F$120,3,0),""))&amp;""</f>
        <v/>
      </c>
      <c r="L217" s="205" t="str">
        <f>IFERROR(VLOOKUP($I217,'Institution Evaluation'!$A$55:$F$345,4,0),IFERROR(VLOOKUP($I217,'Privacy Analyst Evaluation'!$A$46:$F$120,4,0),""))&amp;""</f>
        <v/>
      </c>
      <c r="M217" s="205" t="str">
        <f>IFERROR(VLOOKUP($I217,'Institution Evaluation'!$A$55:$F$345,6,0),IFERROR(VLOOKUP($I217,'Privacy Analyst Evaluation'!$A$46:$F$120,6,0),""))&amp;""</f>
        <v/>
      </c>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row>
    <row r="218" spans="1:338" x14ac:dyDescent="0.3">
      <c r="A218" s="205" t="str">
        <f>IFERROR(IF($A217+1&gt;'(backend scoring)'!$T$335,"",$A217+1),"")</f>
        <v/>
      </c>
      <c r="B218" s="205" t="str">
        <f>_xlfn.XLOOKUP($A218,'(backend scoring)'!$V$2:$V$333,'(backend scoring)'!$A$2:$A$333,"")</f>
        <v/>
      </c>
      <c r="C218" s="205" t="str">
        <f>IFERROR(VLOOKUP($B218,'Institution Evaluation'!$A$55:$F$345,2,0),IFERROR(VLOOKUP($B218,'Privacy Analyst Evaluation'!$A$46:$F$120,2,0),""))&amp;""</f>
        <v/>
      </c>
      <c r="D218" s="205" t="str">
        <f>IFERROR(VLOOKUP($B218,'Institution Evaluation'!$A$55:$F$345,3,0),IFERROR(VLOOKUP($B218,'Privacy Analyst Evaluation'!$A$46:$F$120,3,0),""))&amp;""</f>
        <v/>
      </c>
      <c r="E218" s="205" t="str">
        <f>IFERROR(VLOOKUP($B218,'Institution Evaluation'!$A$55:$F$345,4,0),IFERROR(VLOOKUP($B218,'Privacy Analyst Evaluation'!$A$46:$F$120,4,0),""))&amp;""</f>
        <v/>
      </c>
      <c r="F218" s="205" t="str">
        <f>IFERROR(VLOOKUP($B218,'Institution Evaluation'!$A$55:$F$345,6,0),IFERROR(VLOOKUP($B218,'Privacy Analyst Evaluation'!$A$46:$F$120,6,0),""))&amp;""</f>
        <v/>
      </c>
      <c r="G218" s="206"/>
      <c r="H218" s="205" t="str">
        <f>IFERROR(IF($H217+1&gt;'(backend scoring)'!$Q$335,"",$H217+1),"")</f>
        <v/>
      </c>
      <c r="I218" s="205" t="str">
        <f>_xlfn.XLOOKUP($H218,'(backend scoring)'!$S$2:$S$333,'(backend scoring)'!$A$2:$A$333,"")</f>
        <v/>
      </c>
      <c r="J218" s="205" t="str">
        <f>IFERROR(VLOOKUP($I218,'Institution Evaluation'!$A$55:$F$345,2,0),IFERROR(VLOOKUP($I218,'Privacy Analyst Evaluation'!$A$46:$F$120,2,0),""))</f>
        <v/>
      </c>
      <c r="K218" s="205" t="str">
        <f>IFERROR(VLOOKUP($I218,'Institution Evaluation'!$A$55:$F$345,3,0),IFERROR(VLOOKUP($I218,'Privacy Analyst Evaluation'!$A$46:$F$120,3,0),""))&amp;""</f>
        <v/>
      </c>
      <c r="L218" s="205" t="str">
        <f>IFERROR(VLOOKUP($I218,'Institution Evaluation'!$A$55:$F$345,4,0),IFERROR(VLOOKUP($I218,'Privacy Analyst Evaluation'!$A$46:$F$120,4,0),""))&amp;""</f>
        <v/>
      </c>
      <c r="M218" s="205" t="str">
        <f>IFERROR(VLOOKUP($I218,'Institution Evaluation'!$A$55:$F$345,6,0),IFERROR(VLOOKUP($I218,'Privacy Analyst Evaluation'!$A$46:$F$120,6,0),""))&amp;""</f>
        <v/>
      </c>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row>
    <row r="219" spans="1:338" x14ac:dyDescent="0.3">
      <c r="A219" s="205" t="str">
        <f>IFERROR(IF($A218+1&gt;'(backend scoring)'!$T$335,"",$A218+1),"")</f>
        <v/>
      </c>
      <c r="B219" s="205" t="str">
        <f>_xlfn.XLOOKUP($A219,'(backend scoring)'!$V$2:$V$333,'(backend scoring)'!$A$2:$A$333,"")</f>
        <v/>
      </c>
      <c r="C219" s="205" t="str">
        <f>IFERROR(VLOOKUP($B219,'Institution Evaluation'!$A$55:$F$345,2,0),IFERROR(VLOOKUP($B219,'Privacy Analyst Evaluation'!$A$46:$F$120,2,0),""))&amp;""</f>
        <v/>
      </c>
      <c r="D219" s="205" t="str">
        <f>IFERROR(VLOOKUP($B219,'Institution Evaluation'!$A$55:$F$345,3,0),IFERROR(VLOOKUP($B219,'Privacy Analyst Evaluation'!$A$46:$F$120,3,0),""))&amp;""</f>
        <v/>
      </c>
      <c r="E219" s="205" t="str">
        <f>IFERROR(VLOOKUP($B219,'Institution Evaluation'!$A$55:$F$345,4,0),IFERROR(VLOOKUP($B219,'Privacy Analyst Evaluation'!$A$46:$F$120,4,0),""))&amp;""</f>
        <v/>
      </c>
      <c r="F219" s="205" t="str">
        <f>IFERROR(VLOOKUP($B219,'Institution Evaluation'!$A$55:$F$345,6,0),IFERROR(VLOOKUP($B219,'Privacy Analyst Evaluation'!$A$46:$F$120,6,0),""))&amp;""</f>
        <v/>
      </c>
      <c r="G219" s="206"/>
      <c r="H219" s="205" t="str">
        <f>IFERROR(IF($H218+1&gt;'(backend scoring)'!$Q$335,"",$H218+1),"")</f>
        <v/>
      </c>
      <c r="I219" s="205" t="str">
        <f>_xlfn.XLOOKUP($H219,'(backend scoring)'!$S$2:$S$333,'(backend scoring)'!$A$2:$A$333,"")</f>
        <v/>
      </c>
      <c r="J219" s="205" t="str">
        <f>IFERROR(VLOOKUP($I219,'Institution Evaluation'!$A$55:$F$345,2,0),IFERROR(VLOOKUP($I219,'Privacy Analyst Evaluation'!$A$46:$F$120,2,0),""))</f>
        <v/>
      </c>
      <c r="K219" s="205" t="str">
        <f>IFERROR(VLOOKUP($I219,'Institution Evaluation'!$A$55:$F$345,3,0),IFERROR(VLOOKUP($I219,'Privacy Analyst Evaluation'!$A$46:$F$120,3,0),""))&amp;""</f>
        <v/>
      </c>
      <c r="L219" s="205" t="str">
        <f>IFERROR(VLOOKUP($I219,'Institution Evaluation'!$A$55:$F$345,4,0),IFERROR(VLOOKUP($I219,'Privacy Analyst Evaluation'!$A$46:$F$120,4,0),""))&amp;""</f>
        <v/>
      </c>
      <c r="M219" s="205" t="str">
        <f>IFERROR(VLOOKUP($I219,'Institution Evaluation'!$A$55:$F$345,6,0),IFERROR(VLOOKUP($I219,'Privacy Analyst Evaluation'!$A$46:$F$120,6,0),""))&amp;""</f>
        <v/>
      </c>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row>
    <row r="220" spans="1:338" x14ac:dyDescent="0.3">
      <c r="A220" s="205" t="str">
        <f>IFERROR(IF($A219+1&gt;'(backend scoring)'!$T$335,"",$A219+1),"")</f>
        <v/>
      </c>
      <c r="B220" s="205" t="str">
        <f>_xlfn.XLOOKUP($A220,'(backend scoring)'!$V$2:$V$333,'(backend scoring)'!$A$2:$A$333,"")</f>
        <v/>
      </c>
      <c r="C220" s="205" t="str">
        <f>IFERROR(VLOOKUP($B220,'Institution Evaluation'!$A$55:$F$345,2,0),IFERROR(VLOOKUP($B220,'Privacy Analyst Evaluation'!$A$46:$F$120,2,0),""))&amp;""</f>
        <v/>
      </c>
      <c r="D220" s="205" t="str">
        <f>IFERROR(VLOOKUP($B220,'Institution Evaluation'!$A$55:$F$345,3,0),IFERROR(VLOOKUP($B220,'Privacy Analyst Evaluation'!$A$46:$F$120,3,0),""))&amp;""</f>
        <v/>
      </c>
      <c r="E220" s="205" t="str">
        <f>IFERROR(VLOOKUP($B220,'Institution Evaluation'!$A$55:$F$345,4,0),IFERROR(VLOOKUP($B220,'Privacy Analyst Evaluation'!$A$46:$F$120,4,0),""))&amp;""</f>
        <v/>
      </c>
      <c r="F220" s="205" t="str">
        <f>IFERROR(VLOOKUP($B220,'Institution Evaluation'!$A$55:$F$345,6,0),IFERROR(VLOOKUP($B220,'Privacy Analyst Evaluation'!$A$46:$F$120,6,0),""))&amp;""</f>
        <v/>
      </c>
      <c r="G220" s="206"/>
      <c r="H220" s="205" t="str">
        <f>IFERROR(IF($H219+1&gt;'(backend scoring)'!$Q$335,"",$H219+1),"")</f>
        <v/>
      </c>
      <c r="I220" s="205" t="str">
        <f>_xlfn.XLOOKUP($H220,'(backend scoring)'!$S$2:$S$333,'(backend scoring)'!$A$2:$A$333,"")</f>
        <v/>
      </c>
      <c r="J220" s="205" t="str">
        <f>IFERROR(VLOOKUP($I220,'Institution Evaluation'!$A$55:$F$345,2,0),IFERROR(VLOOKUP($I220,'Privacy Analyst Evaluation'!$A$46:$F$120,2,0),""))</f>
        <v/>
      </c>
      <c r="K220" s="205" t="str">
        <f>IFERROR(VLOOKUP($I220,'Institution Evaluation'!$A$55:$F$345,3,0),IFERROR(VLOOKUP($I220,'Privacy Analyst Evaluation'!$A$46:$F$120,3,0),""))&amp;""</f>
        <v/>
      </c>
      <c r="L220" s="205" t="str">
        <f>IFERROR(VLOOKUP($I220,'Institution Evaluation'!$A$55:$F$345,4,0),IFERROR(VLOOKUP($I220,'Privacy Analyst Evaluation'!$A$46:$F$120,4,0),""))&amp;""</f>
        <v/>
      </c>
      <c r="M220" s="205" t="str">
        <f>IFERROR(VLOOKUP($I220,'Institution Evaluation'!$A$55:$F$345,6,0),IFERROR(VLOOKUP($I220,'Privacy Analyst Evaluation'!$A$46:$F$120,6,0),""))&amp;""</f>
        <v/>
      </c>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row>
    <row r="221" spans="1:338" x14ac:dyDescent="0.3">
      <c r="A221" s="205" t="str">
        <f>IFERROR(IF($A220+1&gt;'(backend scoring)'!$T$335,"",$A220+1),"")</f>
        <v/>
      </c>
      <c r="B221" s="205" t="str">
        <f>_xlfn.XLOOKUP($A221,'(backend scoring)'!$V$2:$V$333,'(backend scoring)'!$A$2:$A$333,"")</f>
        <v/>
      </c>
      <c r="C221" s="205" t="str">
        <f>IFERROR(VLOOKUP($B221,'Institution Evaluation'!$A$55:$F$345,2,0),IFERROR(VLOOKUP($B221,'Privacy Analyst Evaluation'!$A$46:$F$120,2,0),""))&amp;""</f>
        <v/>
      </c>
      <c r="D221" s="205" t="str">
        <f>IFERROR(VLOOKUP($B221,'Institution Evaluation'!$A$55:$F$345,3,0),IFERROR(VLOOKUP($B221,'Privacy Analyst Evaluation'!$A$46:$F$120,3,0),""))&amp;""</f>
        <v/>
      </c>
      <c r="E221" s="205" t="str">
        <f>IFERROR(VLOOKUP($B221,'Institution Evaluation'!$A$55:$F$345,4,0),IFERROR(VLOOKUP($B221,'Privacy Analyst Evaluation'!$A$46:$F$120,4,0),""))&amp;""</f>
        <v/>
      </c>
      <c r="F221" s="205" t="str">
        <f>IFERROR(VLOOKUP($B221,'Institution Evaluation'!$A$55:$F$345,6,0),IFERROR(VLOOKUP($B221,'Privacy Analyst Evaluation'!$A$46:$F$120,6,0),""))&amp;""</f>
        <v/>
      </c>
      <c r="G221" s="206"/>
      <c r="H221" s="205" t="str">
        <f>IFERROR(IF($H220+1&gt;'(backend scoring)'!$Q$335,"",$H220+1),"")</f>
        <v/>
      </c>
      <c r="I221" s="205" t="str">
        <f>_xlfn.XLOOKUP($H221,'(backend scoring)'!$S$2:$S$333,'(backend scoring)'!$A$2:$A$333,"")</f>
        <v/>
      </c>
      <c r="J221" s="205" t="str">
        <f>IFERROR(VLOOKUP($I221,'Institution Evaluation'!$A$55:$F$345,2,0),IFERROR(VLOOKUP($I221,'Privacy Analyst Evaluation'!$A$46:$F$120,2,0),""))</f>
        <v/>
      </c>
      <c r="K221" s="205" t="str">
        <f>IFERROR(VLOOKUP($I221,'Institution Evaluation'!$A$55:$F$345,3,0),IFERROR(VLOOKUP($I221,'Privacy Analyst Evaluation'!$A$46:$F$120,3,0),""))&amp;""</f>
        <v/>
      </c>
      <c r="L221" s="205" t="str">
        <f>IFERROR(VLOOKUP($I221,'Institution Evaluation'!$A$55:$F$345,4,0),IFERROR(VLOOKUP($I221,'Privacy Analyst Evaluation'!$A$46:$F$120,4,0),""))&amp;""</f>
        <v/>
      </c>
      <c r="M221" s="205" t="str">
        <f>IFERROR(VLOOKUP($I221,'Institution Evaluation'!$A$55:$F$345,6,0),IFERROR(VLOOKUP($I221,'Privacy Analyst Evaluation'!$A$46:$F$120,6,0),""))&amp;""</f>
        <v/>
      </c>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row>
    <row r="222" spans="1:338" x14ac:dyDescent="0.3">
      <c r="A222" s="205" t="str">
        <f>IFERROR(IF($A221+1&gt;'(backend scoring)'!$T$335,"",$A221+1),"")</f>
        <v/>
      </c>
      <c r="B222" s="205" t="str">
        <f>_xlfn.XLOOKUP($A222,'(backend scoring)'!$V$2:$V$333,'(backend scoring)'!$A$2:$A$333,"")</f>
        <v/>
      </c>
      <c r="C222" s="205" t="str">
        <f>IFERROR(VLOOKUP($B222,'Institution Evaluation'!$A$55:$F$345,2,0),IFERROR(VLOOKUP($B222,'Privacy Analyst Evaluation'!$A$46:$F$120,2,0),""))&amp;""</f>
        <v/>
      </c>
      <c r="D222" s="205" t="str">
        <f>IFERROR(VLOOKUP($B222,'Institution Evaluation'!$A$55:$F$345,3,0),IFERROR(VLOOKUP($B222,'Privacy Analyst Evaluation'!$A$46:$F$120,3,0),""))&amp;""</f>
        <v/>
      </c>
      <c r="E222" s="205" t="str">
        <f>IFERROR(VLOOKUP($B222,'Institution Evaluation'!$A$55:$F$345,4,0),IFERROR(VLOOKUP($B222,'Privacy Analyst Evaluation'!$A$46:$F$120,4,0),""))&amp;""</f>
        <v/>
      </c>
      <c r="F222" s="205" t="str">
        <f>IFERROR(VLOOKUP($B222,'Institution Evaluation'!$A$55:$F$345,6,0),IFERROR(VLOOKUP($B222,'Privacy Analyst Evaluation'!$A$46:$F$120,6,0),""))&amp;""</f>
        <v/>
      </c>
      <c r="G222" s="206"/>
      <c r="H222" s="205" t="str">
        <f>IFERROR(IF($H221+1&gt;'(backend scoring)'!$Q$335,"",$H221+1),"")</f>
        <v/>
      </c>
      <c r="I222" s="205" t="str">
        <f>_xlfn.XLOOKUP($H222,'(backend scoring)'!$S$2:$S$333,'(backend scoring)'!$A$2:$A$333,"")</f>
        <v/>
      </c>
      <c r="J222" s="205" t="str">
        <f>IFERROR(VLOOKUP($I222,'Institution Evaluation'!$A$55:$F$345,2,0),IFERROR(VLOOKUP($I222,'Privacy Analyst Evaluation'!$A$46:$F$120,2,0),""))</f>
        <v/>
      </c>
      <c r="K222" s="205" t="str">
        <f>IFERROR(VLOOKUP($I222,'Institution Evaluation'!$A$55:$F$345,3,0),IFERROR(VLOOKUP($I222,'Privacy Analyst Evaluation'!$A$46:$F$120,3,0),""))&amp;""</f>
        <v/>
      </c>
      <c r="L222" s="205" t="str">
        <f>IFERROR(VLOOKUP($I222,'Institution Evaluation'!$A$55:$F$345,4,0),IFERROR(VLOOKUP($I222,'Privacy Analyst Evaluation'!$A$46:$F$120,4,0),""))&amp;""</f>
        <v/>
      </c>
      <c r="M222" s="205" t="str">
        <f>IFERROR(VLOOKUP($I222,'Institution Evaluation'!$A$55:$F$345,6,0),IFERROR(VLOOKUP($I222,'Privacy Analyst Evaluation'!$A$46:$F$120,6,0),""))&amp;""</f>
        <v/>
      </c>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row>
    <row r="223" spans="1:338" x14ac:dyDescent="0.3">
      <c r="A223" s="205" t="str">
        <f>IFERROR(IF($A222+1&gt;'(backend scoring)'!$T$335,"",$A222+1),"")</f>
        <v/>
      </c>
      <c r="B223" s="205" t="str">
        <f>_xlfn.XLOOKUP($A223,'(backend scoring)'!$V$2:$V$333,'(backend scoring)'!$A$2:$A$333,"")</f>
        <v/>
      </c>
      <c r="C223" s="205" t="str">
        <f>IFERROR(VLOOKUP($B223,'Institution Evaluation'!$A$55:$F$345,2,0),IFERROR(VLOOKUP($B223,'Privacy Analyst Evaluation'!$A$46:$F$120,2,0),""))&amp;""</f>
        <v/>
      </c>
      <c r="D223" s="205" t="str">
        <f>IFERROR(VLOOKUP($B223,'Institution Evaluation'!$A$55:$F$345,3,0),IFERROR(VLOOKUP($B223,'Privacy Analyst Evaluation'!$A$46:$F$120,3,0),""))&amp;""</f>
        <v/>
      </c>
      <c r="E223" s="205" t="str">
        <f>IFERROR(VLOOKUP($B223,'Institution Evaluation'!$A$55:$F$345,4,0),IFERROR(VLOOKUP($B223,'Privacy Analyst Evaluation'!$A$46:$F$120,4,0),""))&amp;""</f>
        <v/>
      </c>
      <c r="F223" s="205" t="str">
        <f>IFERROR(VLOOKUP($B223,'Institution Evaluation'!$A$55:$F$345,6,0),IFERROR(VLOOKUP($B223,'Privacy Analyst Evaluation'!$A$46:$F$120,6,0),""))&amp;""</f>
        <v/>
      </c>
      <c r="G223" s="206"/>
      <c r="H223" s="205" t="str">
        <f>IFERROR(IF($H222+1&gt;'(backend scoring)'!$Q$335,"",$H222+1),"")</f>
        <v/>
      </c>
      <c r="I223" s="205" t="str">
        <f>_xlfn.XLOOKUP($H223,'(backend scoring)'!$S$2:$S$333,'(backend scoring)'!$A$2:$A$333,"")</f>
        <v/>
      </c>
      <c r="J223" s="205" t="str">
        <f>IFERROR(VLOOKUP($I223,'Institution Evaluation'!$A$55:$F$345,2,0),IFERROR(VLOOKUP($I223,'Privacy Analyst Evaluation'!$A$46:$F$120,2,0),""))</f>
        <v/>
      </c>
      <c r="K223" s="205" t="str">
        <f>IFERROR(VLOOKUP($I223,'Institution Evaluation'!$A$55:$F$345,3,0),IFERROR(VLOOKUP($I223,'Privacy Analyst Evaluation'!$A$46:$F$120,3,0),""))&amp;""</f>
        <v/>
      </c>
      <c r="L223" s="205" t="str">
        <f>IFERROR(VLOOKUP($I223,'Institution Evaluation'!$A$55:$F$345,4,0),IFERROR(VLOOKUP($I223,'Privacy Analyst Evaluation'!$A$46:$F$120,4,0),""))&amp;""</f>
        <v/>
      </c>
      <c r="M223" s="205" t="str">
        <f>IFERROR(VLOOKUP($I223,'Institution Evaluation'!$A$55:$F$345,6,0),IFERROR(VLOOKUP($I223,'Privacy Analyst Evaluation'!$A$46:$F$120,6,0),""))&amp;""</f>
        <v/>
      </c>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row>
    <row r="224" spans="1:338" x14ac:dyDescent="0.3">
      <c r="A224" s="205" t="str">
        <f>IFERROR(IF($A223+1&gt;'(backend scoring)'!$T$335,"",$A223+1),"")</f>
        <v/>
      </c>
      <c r="B224" s="205" t="str">
        <f>_xlfn.XLOOKUP($A224,'(backend scoring)'!$V$2:$V$333,'(backend scoring)'!$A$2:$A$333,"")</f>
        <v/>
      </c>
      <c r="C224" s="205" t="str">
        <f>IFERROR(VLOOKUP($B224,'Institution Evaluation'!$A$55:$F$345,2,0),IFERROR(VLOOKUP($B224,'Privacy Analyst Evaluation'!$A$46:$F$120,2,0),""))&amp;""</f>
        <v/>
      </c>
      <c r="D224" s="205" t="str">
        <f>IFERROR(VLOOKUP($B224,'Institution Evaluation'!$A$55:$F$345,3,0),IFERROR(VLOOKUP($B224,'Privacy Analyst Evaluation'!$A$46:$F$120,3,0),""))&amp;""</f>
        <v/>
      </c>
      <c r="E224" s="205" t="str">
        <f>IFERROR(VLOOKUP($B224,'Institution Evaluation'!$A$55:$F$345,4,0),IFERROR(VLOOKUP($B224,'Privacy Analyst Evaluation'!$A$46:$F$120,4,0),""))&amp;""</f>
        <v/>
      </c>
      <c r="F224" s="205" t="str">
        <f>IFERROR(VLOOKUP($B224,'Institution Evaluation'!$A$55:$F$345,6,0),IFERROR(VLOOKUP($B224,'Privacy Analyst Evaluation'!$A$46:$F$120,6,0),""))&amp;""</f>
        <v/>
      </c>
      <c r="G224" s="206"/>
      <c r="H224" s="205" t="str">
        <f>IFERROR(IF($H223+1&gt;'(backend scoring)'!$Q$335,"",$H223+1),"")</f>
        <v/>
      </c>
      <c r="I224" s="205" t="str">
        <f>_xlfn.XLOOKUP($H224,'(backend scoring)'!$S$2:$S$333,'(backend scoring)'!$A$2:$A$333,"")</f>
        <v/>
      </c>
      <c r="J224" s="205" t="str">
        <f>IFERROR(VLOOKUP($I224,'Institution Evaluation'!$A$55:$F$345,2,0),IFERROR(VLOOKUP($I224,'Privacy Analyst Evaluation'!$A$46:$F$120,2,0),""))</f>
        <v/>
      </c>
      <c r="K224" s="205" t="str">
        <f>IFERROR(VLOOKUP($I224,'Institution Evaluation'!$A$55:$F$345,3,0),IFERROR(VLOOKUP($I224,'Privacy Analyst Evaluation'!$A$46:$F$120,3,0),""))&amp;""</f>
        <v/>
      </c>
      <c r="L224" s="205" t="str">
        <f>IFERROR(VLOOKUP($I224,'Institution Evaluation'!$A$55:$F$345,4,0),IFERROR(VLOOKUP($I224,'Privacy Analyst Evaluation'!$A$46:$F$120,4,0),""))&amp;""</f>
        <v/>
      </c>
      <c r="M224" s="205" t="str">
        <f>IFERROR(VLOOKUP($I224,'Institution Evaluation'!$A$55:$F$345,6,0),IFERROR(VLOOKUP($I224,'Privacy Analyst Evaluation'!$A$46:$F$120,6,0),""))&amp;""</f>
        <v/>
      </c>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row>
    <row r="225" spans="1:338" x14ac:dyDescent="0.3">
      <c r="A225" s="205" t="str">
        <f>IFERROR(IF($A224+1&gt;'(backend scoring)'!$T$335,"",$A224+1),"")</f>
        <v/>
      </c>
      <c r="B225" s="205" t="str">
        <f>_xlfn.XLOOKUP($A225,'(backend scoring)'!$V$2:$V$333,'(backend scoring)'!$A$2:$A$333,"")</f>
        <v/>
      </c>
      <c r="C225" s="205" t="str">
        <f>IFERROR(VLOOKUP($B225,'Institution Evaluation'!$A$55:$F$345,2,0),IFERROR(VLOOKUP($B225,'Privacy Analyst Evaluation'!$A$46:$F$120,2,0),""))&amp;""</f>
        <v/>
      </c>
      <c r="D225" s="205" t="str">
        <f>IFERROR(VLOOKUP($B225,'Institution Evaluation'!$A$55:$F$345,3,0),IFERROR(VLOOKUP($B225,'Privacy Analyst Evaluation'!$A$46:$F$120,3,0),""))&amp;""</f>
        <v/>
      </c>
      <c r="E225" s="205" t="str">
        <f>IFERROR(VLOOKUP($B225,'Institution Evaluation'!$A$55:$F$345,4,0),IFERROR(VLOOKUP($B225,'Privacy Analyst Evaluation'!$A$46:$F$120,4,0),""))&amp;""</f>
        <v/>
      </c>
      <c r="F225" s="205" t="str">
        <f>IFERROR(VLOOKUP($B225,'Institution Evaluation'!$A$55:$F$345,6,0),IFERROR(VLOOKUP($B225,'Privacy Analyst Evaluation'!$A$46:$F$120,6,0),""))&amp;""</f>
        <v/>
      </c>
      <c r="G225" s="206"/>
      <c r="H225" s="205" t="str">
        <f>IFERROR(IF($H224+1&gt;'(backend scoring)'!$Q$335,"",$H224+1),"")</f>
        <v/>
      </c>
      <c r="I225" s="205" t="str">
        <f>_xlfn.XLOOKUP($H225,'(backend scoring)'!$S$2:$S$333,'(backend scoring)'!$A$2:$A$333,"")</f>
        <v/>
      </c>
      <c r="J225" s="205" t="str">
        <f>IFERROR(VLOOKUP($I225,'Institution Evaluation'!$A$55:$F$345,2,0),IFERROR(VLOOKUP($I225,'Privacy Analyst Evaluation'!$A$46:$F$120,2,0),""))</f>
        <v/>
      </c>
      <c r="K225" s="205" t="str">
        <f>IFERROR(VLOOKUP($I225,'Institution Evaluation'!$A$55:$F$345,3,0),IFERROR(VLOOKUP($I225,'Privacy Analyst Evaluation'!$A$46:$F$120,3,0),""))&amp;""</f>
        <v/>
      </c>
      <c r="L225" s="205" t="str">
        <f>IFERROR(VLOOKUP($I225,'Institution Evaluation'!$A$55:$F$345,4,0),IFERROR(VLOOKUP($I225,'Privacy Analyst Evaluation'!$A$46:$F$120,4,0),""))&amp;""</f>
        <v/>
      </c>
      <c r="M225" s="205" t="str">
        <f>IFERROR(VLOOKUP($I225,'Institution Evaluation'!$A$55:$F$345,6,0),IFERROR(VLOOKUP($I225,'Privacy Analyst Evaluation'!$A$46:$F$120,6,0),""))&amp;""</f>
        <v/>
      </c>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row>
    <row r="226" spans="1:338" x14ac:dyDescent="0.3">
      <c r="A226" s="205" t="str">
        <f>IFERROR(IF($A225+1&gt;'(backend scoring)'!$T$335,"",$A225+1),"")</f>
        <v/>
      </c>
      <c r="B226" s="205" t="str">
        <f>_xlfn.XLOOKUP($A226,'(backend scoring)'!$V$2:$V$333,'(backend scoring)'!$A$2:$A$333,"")</f>
        <v/>
      </c>
      <c r="C226" s="205" t="str">
        <f>IFERROR(VLOOKUP($B226,'Institution Evaluation'!$A$55:$F$345,2,0),IFERROR(VLOOKUP($B226,'Privacy Analyst Evaluation'!$A$46:$F$120,2,0),""))&amp;""</f>
        <v/>
      </c>
      <c r="D226" s="205" t="str">
        <f>IFERROR(VLOOKUP($B226,'Institution Evaluation'!$A$55:$F$345,3,0),IFERROR(VLOOKUP($B226,'Privacy Analyst Evaluation'!$A$46:$F$120,3,0),""))&amp;""</f>
        <v/>
      </c>
      <c r="E226" s="205" t="str">
        <f>IFERROR(VLOOKUP($B226,'Institution Evaluation'!$A$55:$F$345,4,0),IFERROR(VLOOKUP($B226,'Privacy Analyst Evaluation'!$A$46:$F$120,4,0),""))&amp;""</f>
        <v/>
      </c>
      <c r="F226" s="205" t="str">
        <f>IFERROR(VLOOKUP($B226,'Institution Evaluation'!$A$55:$F$345,6,0),IFERROR(VLOOKUP($B226,'Privacy Analyst Evaluation'!$A$46:$F$120,6,0),""))&amp;""</f>
        <v/>
      </c>
      <c r="G226" s="206"/>
      <c r="H226" s="205" t="str">
        <f>IFERROR(IF($H225+1&gt;'(backend scoring)'!$Q$335,"",$H225+1),"")</f>
        <v/>
      </c>
      <c r="I226" s="205" t="str">
        <f>_xlfn.XLOOKUP($H226,'(backend scoring)'!$S$2:$S$333,'(backend scoring)'!$A$2:$A$333,"")</f>
        <v/>
      </c>
      <c r="J226" s="205" t="str">
        <f>IFERROR(VLOOKUP($I226,'Institution Evaluation'!$A$55:$F$345,2,0),IFERROR(VLOOKUP($I226,'Privacy Analyst Evaluation'!$A$46:$F$120,2,0),""))</f>
        <v/>
      </c>
      <c r="K226" s="205" t="str">
        <f>IFERROR(VLOOKUP($I226,'Institution Evaluation'!$A$55:$F$345,3,0),IFERROR(VLOOKUP($I226,'Privacy Analyst Evaluation'!$A$46:$F$120,3,0),""))&amp;""</f>
        <v/>
      </c>
      <c r="L226" s="205" t="str">
        <f>IFERROR(VLOOKUP($I226,'Institution Evaluation'!$A$55:$F$345,4,0),IFERROR(VLOOKUP($I226,'Privacy Analyst Evaluation'!$A$46:$F$120,4,0),""))&amp;""</f>
        <v/>
      </c>
      <c r="M226" s="205" t="str">
        <f>IFERROR(VLOOKUP($I226,'Institution Evaluation'!$A$55:$F$345,6,0),IFERROR(VLOOKUP($I226,'Privacy Analyst Evaluation'!$A$46:$F$120,6,0),""))&amp;""</f>
        <v/>
      </c>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row>
    <row r="227" spans="1:338" x14ac:dyDescent="0.3">
      <c r="A227" s="205" t="str">
        <f>IFERROR(IF($A226+1&gt;'(backend scoring)'!$T$335,"",$A226+1),"")</f>
        <v/>
      </c>
      <c r="B227" s="205" t="str">
        <f>_xlfn.XLOOKUP($A227,'(backend scoring)'!$V$2:$V$333,'(backend scoring)'!$A$2:$A$333,"")</f>
        <v/>
      </c>
      <c r="C227" s="205" t="str">
        <f>IFERROR(VLOOKUP($B227,'Institution Evaluation'!$A$55:$F$345,2,0),IFERROR(VLOOKUP($B227,'Privacy Analyst Evaluation'!$A$46:$F$120,2,0),""))&amp;""</f>
        <v/>
      </c>
      <c r="D227" s="205" t="str">
        <f>IFERROR(VLOOKUP($B227,'Institution Evaluation'!$A$55:$F$345,3,0),IFERROR(VLOOKUP($B227,'Privacy Analyst Evaluation'!$A$46:$F$120,3,0),""))&amp;""</f>
        <v/>
      </c>
      <c r="E227" s="205" t="str">
        <f>IFERROR(VLOOKUP($B227,'Institution Evaluation'!$A$55:$F$345,4,0),IFERROR(VLOOKUP($B227,'Privacy Analyst Evaluation'!$A$46:$F$120,4,0),""))&amp;""</f>
        <v/>
      </c>
      <c r="F227" s="205" t="str">
        <f>IFERROR(VLOOKUP($B227,'Institution Evaluation'!$A$55:$F$345,6,0),IFERROR(VLOOKUP($B227,'Privacy Analyst Evaluation'!$A$46:$F$120,6,0),""))&amp;""</f>
        <v/>
      </c>
      <c r="G227" s="206"/>
      <c r="H227" s="205" t="str">
        <f>IFERROR(IF($H226+1&gt;'(backend scoring)'!$Q$335,"",$H226+1),"")</f>
        <v/>
      </c>
      <c r="I227" s="205" t="str">
        <f>_xlfn.XLOOKUP($H227,'(backend scoring)'!$S$2:$S$333,'(backend scoring)'!$A$2:$A$333,"")</f>
        <v/>
      </c>
      <c r="J227" s="205" t="str">
        <f>IFERROR(VLOOKUP($I227,'Institution Evaluation'!$A$55:$F$345,2,0),IFERROR(VLOOKUP($I227,'Privacy Analyst Evaluation'!$A$46:$F$120,2,0),""))</f>
        <v/>
      </c>
      <c r="K227" s="205" t="str">
        <f>IFERROR(VLOOKUP($I227,'Institution Evaluation'!$A$55:$F$345,3,0),IFERROR(VLOOKUP($I227,'Privacy Analyst Evaluation'!$A$46:$F$120,3,0),""))&amp;""</f>
        <v/>
      </c>
      <c r="L227" s="205" t="str">
        <f>IFERROR(VLOOKUP($I227,'Institution Evaluation'!$A$55:$F$345,4,0),IFERROR(VLOOKUP($I227,'Privacy Analyst Evaluation'!$A$46:$F$120,4,0),""))&amp;""</f>
        <v/>
      </c>
      <c r="M227" s="205" t="str">
        <f>IFERROR(VLOOKUP($I227,'Institution Evaluation'!$A$55:$F$345,6,0),IFERROR(VLOOKUP($I227,'Privacy Analyst Evaluation'!$A$46:$F$120,6,0),""))&amp;""</f>
        <v/>
      </c>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row>
    <row r="228" spans="1:338" x14ac:dyDescent="0.3">
      <c r="A228" s="205" t="str">
        <f>IFERROR(IF($A227+1&gt;'(backend scoring)'!$T$335,"",$A227+1),"")</f>
        <v/>
      </c>
      <c r="B228" s="205" t="str">
        <f>_xlfn.XLOOKUP($A228,'(backend scoring)'!$V$2:$V$333,'(backend scoring)'!$A$2:$A$333,"")</f>
        <v/>
      </c>
      <c r="C228" s="205" t="str">
        <f>IFERROR(VLOOKUP($B228,'Institution Evaluation'!$A$55:$F$345,2,0),IFERROR(VLOOKUP($B228,'Privacy Analyst Evaluation'!$A$46:$F$120,2,0),""))&amp;""</f>
        <v/>
      </c>
      <c r="D228" s="205" t="str">
        <f>IFERROR(VLOOKUP($B228,'Institution Evaluation'!$A$55:$F$345,3,0),IFERROR(VLOOKUP($B228,'Privacy Analyst Evaluation'!$A$46:$F$120,3,0),""))&amp;""</f>
        <v/>
      </c>
      <c r="E228" s="205" t="str">
        <f>IFERROR(VLOOKUP($B228,'Institution Evaluation'!$A$55:$F$345,4,0),IFERROR(VLOOKUP($B228,'Privacy Analyst Evaluation'!$A$46:$F$120,4,0),""))&amp;""</f>
        <v/>
      </c>
      <c r="F228" s="205" t="str">
        <f>IFERROR(VLOOKUP($B228,'Institution Evaluation'!$A$55:$F$345,6,0),IFERROR(VLOOKUP($B228,'Privacy Analyst Evaluation'!$A$46:$F$120,6,0),""))&amp;""</f>
        <v/>
      </c>
      <c r="G228" s="206"/>
      <c r="H228" s="205" t="str">
        <f>IFERROR(IF($H227+1&gt;'(backend scoring)'!$Q$335,"",$H227+1),"")</f>
        <v/>
      </c>
      <c r="I228" s="205" t="str">
        <f>_xlfn.XLOOKUP($H228,'(backend scoring)'!$S$2:$S$333,'(backend scoring)'!$A$2:$A$333,"")</f>
        <v/>
      </c>
      <c r="J228" s="205" t="str">
        <f>IFERROR(VLOOKUP($I228,'Institution Evaluation'!$A$55:$F$345,2,0),IFERROR(VLOOKUP($I228,'Privacy Analyst Evaluation'!$A$46:$F$120,2,0),""))</f>
        <v/>
      </c>
      <c r="K228" s="205" t="str">
        <f>IFERROR(VLOOKUP($I228,'Institution Evaluation'!$A$55:$F$345,3,0),IFERROR(VLOOKUP($I228,'Privacy Analyst Evaluation'!$A$46:$F$120,3,0),""))&amp;""</f>
        <v/>
      </c>
      <c r="L228" s="205" t="str">
        <f>IFERROR(VLOOKUP($I228,'Institution Evaluation'!$A$55:$F$345,4,0),IFERROR(VLOOKUP($I228,'Privacy Analyst Evaluation'!$A$46:$F$120,4,0),""))&amp;""</f>
        <v/>
      </c>
      <c r="M228" s="205" t="str">
        <f>IFERROR(VLOOKUP($I228,'Institution Evaluation'!$A$55:$F$345,6,0),IFERROR(VLOOKUP($I228,'Privacy Analyst Evaluation'!$A$46:$F$120,6,0),""))&amp;""</f>
        <v/>
      </c>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row>
    <row r="229" spans="1:338" x14ac:dyDescent="0.3">
      <c r="A229" s="205" t="str">
        <f>IFERROR(IF($A228+1&gt;'(backend scoring)'!$T$335,"",$A228+1),"")</f>
        <v/>
      </c>
      <c r="B229" s="205" t="str">
        <f>_xlfn.XLOOKUP($A229,'(backend scoring)'!$V$2:$V$333,'(backend scoring)'!$A$2:$A$333,"")</f>
        <v/>
      </c>
      <c r="C229" s="205" t="str">
        <f>IFERROR(VLOOKUP($B229,'Institution Evaluation'!$A$55:$F$345,2,0),IFERROR(VLOOKUP($B229,'Privacy Analyst Evaluation'!$A$46:$F$120,2,0),""))&amp;""</f>
        <v/>
      </c>
      <c r="D229" s="205" t="str">
        <f>IFERROR(VLOOKUP($B229,'Institution Evaluation'!$A$55:$F$345,3,0),IFERROR(VLOOKUP($B229,'Privacy Analyst Evaluation'!$A$46:$F$120,3,0),""))&amp;""</f>
        <v/>
      </c>
      <c r="E229" s="205" t="str">
        <f>IFERROR(VLOOKUP($B229,'Institution Evaluation'!$A$55:$F$345,4,0),IFERROR(VLOOKUP($B229,'Privacy Analyst Evaluation'!$A$46:$F$120,4,0),""))&amp;""</f>
        <v/>
      </c>
      <c r="F229" s="205" t="str">
        <f>IFERROR(VLOOKUP($B229,'Institution Evaluation'!$A$55:$F$345,6,0),IFERROR(VLOOKUP($B229,'Privacy Analyst Evaluation'!$A$46:$F$120,6,0),""))&amp;""</f>
        <v/>
      </c>
      <c r="G229" s="206"/>
      <c r="H229" s="205" t="str">
        <f>IFERROR(IF($H228+1&gt;'(backend scoring)'!$Q$335,"",$H228+1),"")</f>
        <v/>
      </c>
      <c r="I229" s="205" t="str">
        <f>_xlfn.XLOOKUP($H229,'(backend scoring)'!$S$2:$S$333,'(backend scoring)'!$A$2:$A$333,"")</f>
        <v/>
      </c>
      <c r="J229" s="205" t="str">
        <f>IFERROR(VLOOKUP($I229,'Institution Evaluation'!$A$55:$F$345,2,0),IFERROR(VLOOKUP($I229,'Privacy Analyst Evaluation'!$A$46:$F$120,2,0),""))</f>
        <v/>
      </c>
      <c r="K229" s="205" t="str">
        <f>IFERROR(VLOOKUP($I229,'Institution Evaluation'!$A$55:$F$345,3,0),IFERROR(VLOOKUP($I229,'Privacy Analyst Evaluation'!$A$46:$F$120,3,0),""))&amp;""</f>
        <v/>
      </c>
      <c r="L229" s="205" t="str">
        <f>IFERROR(VLOOKUP($I229,'Institution Evaluation'!$A$55:$F$345,4,0),IFERROR(VLOOKUP($I229,'Privacy Analyst Evaluation'!$A$46:$F$120,4,0),""))&amp;""</f>
        <v/>
      </c>
      <c r="M229" s="205" t="str">
        <f>IFERROR(VLOOKUP($I229,'Institution Evaluation'!$A$55:$F$345,6,0),IFERROR(VLOOKUP($I229,'Privacy Analyst Evaluation'!$A$46:$F$120,6,0),""))&amp;""</f>
        <v/>
      </c>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row>
    <row r="230" spans="1:338" x14ac:dyDescent="0.3">
      <c r="A230" s="205" t="str">
        <f>IFERROR(IF($A229+1&gt;'(backend scoring)'!$T$335,"",$A229+1),"")</f>
        <v/>
      </c>
      <c r="B230" s="205" t="str">
        <f>_xlfn.XLOOKUP($A230,'(backend scoring)'!$V$2:$V$333,'(backend scoring)'!$A$2:$A$333,"")</f>
        <v/>
      </c>
      <c r="C230" s="205" t="str">
        <f>IFERROR(VLOOKUP($B230,'Institution Evaluation'!$A$55:$F$345,2,0),IFERROR(VLOOKUP($B230,'Privacy Analyst Evaluation'!$A$46:$F$120,2,0),""))&amp;""</f>
        <v/>
      </c>
      <c r="D230" s="205" t="str">
        <f>IFERROR(VLOOKUP($B230,'Institution Evaluation'!$A$55:$F$345,3,0),IFERROR(VLOOKUP($B230,'Privacy Analyst Evaluation'!$A$46:$F$120,3,0),""))&amp;""</f>
        <v/>
      </c>
      <c r="E230" s="205" t="str">
        <f>IFERROR(VLOOKUP($B230,'Institution Evaluation'!$A$55:$F$345,4,0),IFERROR(VLOOKUP($B230,'Privacy Analyst Evaluation'!$A$46:$F$120,4,0),""))&amp;""</f>
        <v/>
      </c>
      <c r="F230" s="205" t="str">
        <f>IFERROR(VLOOKUP($B230,'Institution Evaluation'!$A$55:$F$345,6,0),IFERROR(VLOOKUP($B230,'Privacy Analyst Evaluation'!$A$46:$F$120,6,0),""))&amp;""</f>
        <v/>
      </c>
      <c r="G230" s="206"/>
      <c r="H230" s="205" t="str">
        <f>IFERROR(IF($H229+1&gt;'(backend scoring)'!$Q$335,"",$H229+1),"")</f>
        <v/>
      </c>
      <c r="I230" s="205" t="str">
        <f>_xlfn.XLOOKUP($H230,'(backend scoring)'!$S$2:$S$333,'(backend scoring)'!$A$2:$A$333,"")</f>
        <v/>
      </c>
      <c r="J230" s="205" t="str">
        <f>IFERROR(VLOOKUP($I230,'Institution Evaluation'!$A$55:$F$345,2,0),IFERROR(VLOOKUP($I230,'Privacy Analyst Evaluation'!$A$46:$F$120,2,0),""))</f>
        <v/>
      </c>
      <c r="K230" s="205" t="str">
        <f>IFERROR(VLOOKUP($I230,'Institution Evaluation'!$A$55:$F$345,3,0),IFERROR(VLOOKUP($I230,'Privacy Analyst Evaluation'!$A$46:$F$120,3,0),""))&amp;""</f>
        <v/>
      </c>
      <c r="L230" s="205" t="str">
        <f>IFERROR(VLOOKUP($I230,'Institution Evaluation'!$A$55:$F$345,4,0),IFERROR(VLOOKUP($I230,'Privacy Analyst Evaluation'!$A$46:$F$120,4,0),""))&amp;""</f>
        <v/>
      </c>
      <c r="M230" s="205" t="str">
        <f>IFERROR(VLOOKUP($I230,'Institution Evaluation'!$A$55:$F$345,6,0),IFERROR(VLOOKUP($I230,'Privacy Analyst Evaluation'!$A$46:$F$120,6,0),""))&amp;""</f>
        <v/>
      </c>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row>
    <row r="231" spans="1:338" x14ac:dyDescent="0.3">
      <c r="A231" s="205" t="str">
        <f>IFERROR(IF($A230+1&gt;'(backend scoring)'!$T$335,"",$A230+1),"")</f>
        <v/>
      </c>
      <c r="B231" s="205" t="str">
        <f>_xlfn.XLOOKUP($A231,'(backend scoring)'!$V$2:$V$333,'(backend scoring)'!$A$2:$A$333,"")</f>
        <v/>
      </c>
      <c r="C231" s="205" t="str">
        <f>IFERROR(VLOOKUP($B231,'Institution Evaluation'!$A$55:$F$345,2,0),IFERROR(VLOOKUP($B231,'Privacy Analyst Evaluation'!$A$46:$F$120,2,0),""))&amp;""</f>
        <v/>
      </c>
      <c r="D231" s="205" t="str">
        <f>IFERROR(VLOOKUP($B231,'Institution Evaluation'!$A$55:$F$345,3,0),IFERROR(VLOOKUP($B231,'Privacy Analyst Evaluation'!$A$46:$F$120,3,0),""))&amp;""</f>
        <v/>
      </c>
      <c r="E231" s="205" t="str">
        <f>IFERROR(VLOOKUP($B231,'Institution Evaluation'!$A$55:$F$345,4,0),IFERROR(VLOOKUP($B231,'Privacy Analyst Evaluation'!$A$46:$F$120,4,0),""))&amp;""</f>
        <v/>
      </c>
      <c r="F231" s="205" t="str">
        <f>IFERROR(VLOOKUP($B231,'Institution Evaluation'!$A$55:$F$345,6,0),IFERROR(VLOOKUP($B231,'Privacy Analyst Evaluation'!$A$46:$F$120,6,0),""))&amp;""</f>
        <v/>
      </c>
      <c r="G231" s="206"/>
      <c r="H231" s="205" t="str">
        <f>IFERROR(IF($H230+1&gt;'(backend scoring)'!$Q$335,"",$H230+1),"")</f>
        <v/>
      </c>
      <c r="I231" s="205" t="str">
        <f>_xlfn.XLOOKUP($H231,'(backend scoring)'!$S$2:$S$333,'(backend scoring)'!$A$2:$A$333,"")</f>
        <v/>
      </c>
      <c r="J231" s="205" t="str">
        <f>IFERROR(VLOOKUP($I231,'Institution Evaluation'!$A$55:$F$345,2,0),IFERROR(VLOOKUP($I231,'Privacy Analyst Evaluation'!$A$46:$F$120,2,0),""))</f>
        <v/>
      </c>
      <c r="K231" s="205" t="str">
        <f>IFERROR(VLOOKUP($I231,'Institution Evaluation'!$A$55:$F$345,3,0),IFERROR(VLOOKUP($I231,'Privacy Analyst Evaluation'!$A$46:$F$120,3,0),""))&amp;""</f>
        <v/>
      </c>
      <c r="L231" s="205" t="str">
        <f>IFERROR(VLOOKUP($I231,'Institution Evaluation'!$A$55:$F$345,4,0),IFERROR(VLOOKUP($I231,'Privacy Analyst Evaluation'!$A$46:$F$120,4,0),""))&amp;""</f>
        <v/>
      </c>
      <c r="M231" s="205" t="str">
        <f>IFERROR(VLOOKUP($I231,'Institution Evaluation'!$A$55:$F$345,6,0),IFERROR(VLOOKUP($I231,'Privacy Analyst Evaluation'!$A$46:$F$120,6,0),""))&amp;""</f>
        <v/>
      </c>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row>
    <row r="232" spans="1:338" x14ac:dyDescent="0.3">
      <c r="A232" s="205" t="str">
        <f>IFERROR(IF($A231+1&gt;'(backend scoring)'!$T$335,"",$A231+1),"")</f>
        <v/>
      </c>
      <c r="B232" s="205" t="str">
        <f>_xlfn.XLOOKUP($A232,'(backend scoring)'!$V$2:$V$333,'(backend scoring)'!$A$2:$A$333,"")</f>
        <v/>
      </c>
      <c r="C232" s="205" t="str">
        <f>IFERROR(VLOOKUP($B232,'Institution Evaluation'!$A$55:$F$345,2,0),IFERROR(VLOOKUP($B232,'Privacy Analyst Evaluation'!$A$46:$F$120,2,0),""))&amp;""</f>
        <v/>
      </c>
      <c r="D232" s="205" t="str">
        <f>IFERROR(VLOOKUP($B232,'Institution Evaluation'!$A$55:$F$345,3,0),IFERROR(VLOOKUP($B232,'Privacy Analyst Evaluation'!$A$46:$F$120,3,0),""))&amp;""</f>
        <v/>
      </c>
      <c r="E232" s="205" t="str">
        <f>IFERROR(VLOOKUP($B232,'Institution Evaluation'!$A$55:$F$345,4,0),IFERROR(VLOOKUP($B232,'Privacy Analyst Evaluation'!$A$46:$F$120,4,0),""))&amp;""</f>
        <v/>
      </c>
      <c r="F232" s="205" t="str">
        <f>IFERROR(VLOOKUP($B232,'Institution Evaluation'!$A$55:$F$345,6,0),IFERROR(VLOOKUP($B232,'Privacy Analyst Evaluation'!$A$46:$F$120,6,0),""))&amp;""</f>
        <v/>
      </c>
      <c r="G232" s="206"/>
      <c r="H232" s="205" t="str">
        <f>IFERROR(IF($H231+1&gt;'(backend scoring)'!$Q$335,"",$H231+1),"")</f>
        <v/>
      </c>
      <c r="I232" s="205" t="str">
        <f>_xlfn.XLOOKUP($H232,'(backend scoring)'!$S$2:$S$333,'(backend scoring)'!$A$2:$A$333,"")</f>
        <v/>
      </c>
      <c r="J232" s="205" t="str">
        <f>IFERROR(VLOOKUP($I232,'Institution Evaluation'!$A$55:$F$345,2,0),IFERROR(VLOOKUP($I232,'Privacy Analyst Evaluation'!$A$46:$F$120,2,0),""))</f>
        <v/>
      </c>
      <c r="K232" s="205" t="str">
        <f>IFERROR(VLOOKUP($I232,'Institution Evaluation'!$A$55:$F$345,3,0),IFERROR(VLOOKUP($I232,'Privacy Analyst Evaluation'!$A$46:$F$120,3,0),""))&amp;""</f>
        <v/>
      </c>
      <c r="L232" s="205" t="str">
        <f>IFERROR(VLOOKUP($I232,'Institution Evaluation'!$A$55:$F$345,4,0),IFERROR(VLOOKUP($I232,'Privacy Analyst Evaluation'!$A$46:$F$120,4,0),""))&amp;""</f>
        <v/>
      </c>
      <c r="M232" s="205" t="str">
        <f>IFERROR(VLOOKUP($I232,'Institution Evaluation'!$A$55:$F$345,6,0),IFERROR(VLOOKUP($I232,'Privacy Analyst Evaluation'!$A$46:$F$120,6,0),""))&amp;""</f>
        <v/>
      </c>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row>
    <row r="233" spans="1:338" x14ac:dyDescent="0.3">
      <c r="A233" s="205" t="str">
        <f>IFERROR(IF($A232+1&gt;'(backend scoring)'!$T$335,"",$A232+1),"")</f>
        <v/>
      </c>
      <c r="B233" s="205" t="str">
        <f>_xlfn.XLOOKUP($A233,'(backend scoring)'!$V$2:$V$333,'(backend scoring)'!$A$2:$A$333,"")</f>
        <v/>
      </c>
      <c r="C233" s="205" t="str">
        <f>IFERROR(VLOOKUP($B233,'Institution Evaluation'!$A$55:$F$345,2,0),IFERROR(VLOOKUP($B233,'Privacy Analyst Evaluation'!$A$46:$F$120,2,0),""))&amp;""</f>
        <v/>
      </c>
      <c r="D233" s="205" t="str">
        <f>IFERROR(VLOOKUP($B233,'Institution Evaluation'!$A$55:$F$345,3,0),IFERROR(VLOOKUP($B233,'Privacy Analyst Evaluation'!$A$46:$F$120,3,0),""))&amp;""</f>
        <v/>
      </c>
      <c r="E233" s="205" t="str">
        <f>IFERROR(VLOOKUP($B233,'Institution Evaluation'!$A$55:$F$345,4,0),IFERROR(VLOOKUP($B233,'Privacy Analyst Evaluation'!$A$46:$F$120,4,0),""))&amp;""</f>
        <v/>
      </c>
      <c r="F233" s="205" t="str">
        <f>IFERROR(VLOOKUP($B233,'Institution Evaluation'!$A$55:$F$345,6,0),IFERROR(VLOOKUP($B233,'Privacy Analyst Evaluation'!$A$46:$F$120,6,0),""))&amp;""</f>
        <v/>
      </c>
      <c r="G233" s="206"/>
      <c r="H233" s="205" t="str">
        <f>IFERROR(IF($H232+1&gt;'(backend scoring)'!$Q$335,"",$H232+1),"")</f>
        <v/>
      </c>
      <c r="I233" s="205" t="str">
        <f>_xlfn.XLOOKUP($H233,'(backend scoring)'!$S$2:$S$333,'(backend scoring)'!$A$2:$A$333,"")</f>
        <v/>
      </c>
      <c r="J233" s="205" t="str">
        <f>IFERROR(VLOOKUP($I233,'Institution Evaluation'!$A$55:$F$345,2,0),IFERROR(VLOOKUP($I233,'Privacy Analyst Evaluation'!$A$46:$F$120,2,0),""))</f>
        <v/>
      </c>
      <c r="K233" s="205" t="str">
        <f>IFERROR(VLOOKUP($I233,'Institution Evaluation'!$A$55:$F$345,3,0),IFERROR(VLOOKUP($I233,'Privacy Analyst Evaluation'!$A$46:$F$120,3,0),""))&amp;""</f>
        <v/>
      </c>
      <c r="L233" s="205" t="str">
        <f>IFERROR(VLOOKUP($I233,'Institution Evaluation'!$A$55:$F$345,4,0),IFERROR(VLOOKUP($I233,'Privacy Analyst Evaluation'!$A$46:$F$120,4,0),""))&amp;""</f>
        <v/>
      </c>
      <c r="M233" s="205" t="str">
        <f>IFERROR(VLOOKUP($I233,'Institution Evaluation'!$A$55:$F$345,6,0),IFERROR(VLOOKUP($I233,'Privacy Analyst Evaluation'!$A$46:$F$120,6,0),""))&amp;""</f>
        <v/>
      </c>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row>
    <row r="234" spans="1:338" x14ac:dyDescent="0.3">
      <c r="A234" s="205" t="str">
        <f>IFERROR(IF($A233+1&gt;'(backend scoring)'!$T$335,"",$A233+1),"")</f>
        <v/>
      </c>
      <c r="B234" s="205" t="str">
        <f>_xlfn.XLOOKUP($A234,'(backend scoring)'!$V$2:$V$333,'(backend scoring)'!$A$2:$A$333,"")</f>
        <v/>
      </c>
      <c r="C234" s="205" t="str">
        <f>IFERROR(VLOOKUP($B234,'Institution Evaluation'!$A$55:$F$345,2,0),IFERROR(VLOOKUP($B234,'Privacy Analyst Evaluation'!$A$46:$F$120,2,0),""))&amp;""</f>
        <v/>
      </c>
      <c r="D234" s="205" t="str">
        <f>IFERROR(VLOOKUP($B234,'Institution Evaluation'!$A$55:$F$345,3,0),IFERROR(VLOOKUP($B234,'Privacy Analyst Evaluation'!$A$46:$F$120,3,0),""))&amp;""</f>
        <v/>
      </c>
      <c r="E234" s="205" t="str">
        <f>IFERROR(VLOOKUP($B234,'Institution Evaluation'!$A$55:$F$345,4,0),IFERROR(VLOOKUP($B234,'Privacy Analyst Evaluation'!$A$46:$F$120,4,0),""))&amp;""</f>
        <v/>
      </c>
      <c r="F234" s="205" t="str">
        <f>IFERROR(VLOOKUP($B234,'Institution Evaluation'!$A$55:$F$345,6,0),IFERROR(VLOOKUP($B234,'Privacy Analyst Evaluation'!$A$46:$F$120,6,0),""))&amp;""</f>
        <v/>
      </c>
      <c r="G234" s="206"/>
      <c r="H234" s="205" t="str">
        <f>IFERROR(IF($H233+1&gt;'(backend scoring)'!$Q$335,"",$H233+1),"")</f>
        <v/>
      </c>
      <c r="I234" s="205" t="str">
        <f>_xlfn.XLOOKUP($H234,'(backend scoring)'!$S$2:$S$333,'(backend scoring)'!$A$2:$A$333,"")</f>
        <v/>
      </c>
      <c r="J234" s="205" t="str">
        <f>IFERROR(VLOOKUP($I234,'Institution Evaluation'!$A$55:$F$345,2,0),IFERROR(VLOOKUP($I234,'Privacy Analyst Evaluation'!$A$46:$F$120,2,0),""))</f>
        <v/>
      </c>
      <c r="K234" s="205" t="str">
        <f>IFERROR(VLOOKUP($I234,'Institution Evaluation'!$A$55:$F$345,3,0),IFERROR(VLOOKUP($I234,'Privacy Analyst Evaluation'!$A$46:$F$120,3,0),""))&amp;""</f>
        <v/>
      </c>
      <c r="L234" s="205" t="str">
        <f>IFERROR(VLOOKUP($I234,'Institution Evaluation'!$A$55:$F$345,4,0),IFERROR(VLOOKUP($I234,'Privacy Analyst Evaluation'!$A$46:$F$120,4,0),""))&amp;""</f>
        <v/>
      </c>
      <c r="M234" s="205" t="str">
        <f>IFERROR(VLOOKUP($I234,'Institution Evaluation'!$A$55:$F$345,6,0),IFERROR(VLOOKUP($I234,'Privacy Analyst Evaluation'!$A$46:$F$120,6,0),""))&amp;""</f>
        <v/>
      </c>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row>
    <row r="235" spans="1:338" x14ac:dyDescent="0.3">
      <c r="A235" s="205" t="str">
        <f>IFERROR(IF($A234+1&gt;'(backend scoring)'!$T$335,"",$A234+1),"")</f>
        <v/>
      </c>
      <c r="B235" s="205" t="str">
        <f>_xlfn.XLOOKUP($A235,'(backend scoring)'!$V$2:$V$333,'(backend scoring)'!$A$2:$A$333,"")</f>
        <v/>
      </c>
      <c r="C235" s="205" t="str">
        <f>IFERROR(VLOOKUP($B235,'Institution Evaluation'!$A$55:$F$345,2,0),IFERROR(VLOOKUP($B235,'Privacy Analyst Evaluation'!$A$46:$F$120,2,0),""))&amp;""</f>
        <v/>
      </c>
      <c r="D235" s="205" t="str">
        <f>IFERROR(VLOOKUP($B235,'Institution Evaluation'!$A$55:$F$345,3,0),IFERROR(VLOOKUP($B235,'Privacy Analyst Evaluation'!$A$46:$F$120,3,0),""))&amp;""</f>
        <v/>
      </c>
      <c r="E235" s="205" t="str">
        <f>IFERROR(VLOOKUP($B235,'Institution Evaluation'!$A$55:$F$345,4,0),IFERROR(VLOOKUP($B235,'Privacy Analyst Evaluation'!$A$46:$F$120,4,0),""))&amp;""</f>
        <v/>
      </c>
      <c r="F235" s="205" t="str">
        <f>IFERROR(VLOOKUP($B235,'Institution Evaluation'!$A$55:$F$345,6,0),IFERROR(VLOOKUP($B235,'Privacy Analyst Evaluation'!$A$46:$F$120,6,0),""))&amp;""</f>
        <v/>
      </c>
      <c r="G235" s="206"/>
      <c r="H235" s="205" t="str">
        <f>IFERROR(IF($H234+1&gt;'(backend scoring)'!$Q$335,"",$H234+1),"")</f>
        <v/>
      </c>
      <c r="I235" s="205" t="str">
        <f>_xlfn.XLOOKUP($H235,'(backend scoring)'!$S$2:$S$333,'(backend scoring)'!$A$2:$A$333,"")</f>
        <v/>
      </c>
      <c r="J235" s="205" t="str">
        <f>IFERROR(VLOOKUP($I235,'Institution Evaluation'!$A$55:$F$345,2,0),IFERROR(VLOOKUP($I235,'Privacy Analyst Evaluation'!$A$46:$F$120,2,0),""))</f>
        <v/>
      </c>
      <c r="K235" s="205" t="str">
        <f>IFERROR(VLOOKUP($I235,'Institution Evaluation'!$A$55:$F$345,3,0),IFERROR(VLOOKUP($I235,'Privacy Analyst Evaluation'!$A$46:$F$120,3,0),""))&amp;""</f>
        <v/>
      </c>
      <c r="L235" s="205" t="str">
        <f>IFERROR(VLOOKUP($I235,'Institution Evaluation'!$A$55:$F$345,4,0),IFERROR(VLOOKUP($I235,'Privacy Analyst Evaluation'!$A$46:$F$120,4,0),""))&amp;""</f>
        <v/>
      </c>
      <c r="M235" s="205" t="str">
        <f>IFERROR(VLOOKUP($I235,'Institution Evaluation'!$A$55:$F$345,6,0),IFERROR(VLOOKUP($I235,'Privacy Analyst Evaluation'!$A$46:$F$120,6,0),""))&amp;""</f>
        <v/>
      </c>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row>
    <row r="236" spans="1:338" x14ac:dyDescent="0.3">
      <c r="A236" s="205" t="str">
        <f>IFERROR(IF($A235+1&gt;'(backend scoring)'!$T$335,"",$A235+1),"")</f>
        <v/>
      </c>
      <c r="B236" s="205" t="str">
        <f>_xlfn.XLOOKUP($A236,'(backend scoring)'!$V$2:$V$333,'(backend scoring)'!$A$2:$A$333,"")</f>
        <v/>
      </c>
      <c r="C236" s="205" t="str">
        <f>IFERROR(VLOOKUP($B236,'Institution Evaluation'!$A$55:$F$345,2,0),IFERROR(VLOOKUP($B236,'Privacy Analyst Evaluation'!$A$46:$F$120,2,0),""))&amp;""</f>
        <v/>
      </c>
      <c r="D236" s="205" t="str">
        <f>IFERROR(VLOOKUP($B236,'Institution Evaluation'!$A$55:$F$345,3,0),IFERROR(VLOOKUP($B236,'Privacy Analyst Evaluation'!$A$46:$F$120,3,0),""))&amp;""</f>
        <v/>
      </c>
      <c r="E236" s="205" t="str">
        <f>IFERROR(VLOOKUP($B236,'Institution Evaluation'!$A$55:$F$345,4,0),IFERROR(VLOOKUP($B236,'Privacy Analyst Evaluation'!$A$46:$F$120,4,0),""))&amp;""</f>
        <v/>
      </c>
      <c r="F236" s="205" t="str">
        <f>IFERROR(VLOOKUP($B236,'Institution Evaluation'!$A$55:$F$345,6,0),IFERROR(VLOOKUP($B236,'Privacy Analyst Evaluation'!$A$46:$F$120,6,0),""))&amp;""</f>
        <v/>
      </c>
      <c r="G236" s="206"/>
      <c r="H236" s="205" t="str">
        <f>IFERROR(IF($H235+1&gt;'(backend scoring)'!$Q$335,"",$H235+1),"")</f>
        <v/>
      </c>
      <c r="I236" s="205" t="str">
        <f>_xlfn.XLOOKUP($H236,'(backend scoring)'!$S$2:$S$333,'(backend scoring)'!$A$2:$A$333,"")</f>
        <v/>
      </c>
      <c r="J236" s="205" t="str">
        <f>IFERROR(VLOOKUP($I236,'Institution Evaluation'!$A$55:$F$345,2,0),IFERROR(VLOOKUP($I236,'Privacy Analyst Evaluation'!$A$46:$F$120,2,0),""))</f>
        <v/>
      </c>
      <c r="K236" s="205" t="str">
        <f>IFERROR(VLOOKUP($I236,'Institution Evaluation'!$A$55:$F$345,3,0),IFERROR(VLOOKUP($I236,'Privacy Analyst Evaluation'!$A$46:$F$120,3,0),""))&amp;""</f>
        <v/>
      </c>
      <c r="L236" s="205" t="str">
        <f>IFERROR(VLOOKUP($I236,'Institution Evaluation'!$A$55:$F$345,4,0),IFERROR(VLOOKUP($I236,'Privacy Analyst Evaluation'!$A$46:$F$120,4,0),""))&amp;""</f>
        <v/>
      </c>
      <c r="M236" s="205" t="str">
        <f>IFERROR(VLOOKUP($I236,'Institution Evaluation'!$A$55:$F$345,6,0),IFERROR(VLOOKUP($I236,'Privacy Analyst Evaluation'!$A$46:$F$120,6,0),""))&amp;""</f>
        <v/>
      </c>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row>
    <row r="237" spans="1:338" x14ac:dyDescent="0.3">
      <c r="A237" s="205" t="str">
        <f>IFERROR(IF($A236+1&gt;'(backend scoring)'!$T$335,"",$A236+1),"")</f>
        <v/>
      </c>
      <c r="B237" s="205" t="str">
        <f>_xlfn.XLOOKUP($A237,'(backend scoring)'!$V$2:$V$333,'(backend scoring)'!$A$2:$A$333,"")</f>
        <v/>
      </c>
      <c r="C237" s="205" t="str">
        <f>IFERROR(VLOOKUP($B237,'Institution Evaluation'!$A$55:$F$345,2,0),IFERROR(VLOOKUP($B237,'Privacy Analyst Evaluation'!$A$46:$F$120,2,0),""))&amp;""</f>
        <v/>
      </c>
      <c r="D237" s="205" t="str">
        <f>IFERROR(VLOOKUP($B237,'Institution Evaluation'!$A$55:$F$345,3,0),IFERROR(VLOOKUP($B237,'Privacy Analyst Evaluation'!$A$46:$F$120,3,0),""))&amp;""</f>
        <v/>
      </c>
      <c r="E237" s="205" t="str">
        <f>IFERROR(VLOOKUP($B237,'Institution Evaluation'!$A$55:$F$345,4,0),IFERROR(VLOOKUP($B237,'Privacy Analyst Evaluation'!$A$46:$F$120,4,0),""))&amp;""</f>
        <v/>
      </c>
      <c r="F237" s="205" t="str">
        <f>IFERROR(VLOOKUP($B237,'Institution Evaluation'!$A$55:$F$345,6,0),IFERROR(VLOOKUP($B237,'Privacy Analyst Evaluation'!$A$46:$F$120,6,0),""))&amp;""</f>
        <v/>
      </c>
      <c r="G237" s="206"/>
      <c r="H237" s="205" t="str">
        <f>IFERROR(IF($H236+1&gt;'(backend scoring)'!$Q$335,"",$H236+1),"")</f>
        <v/>
      </c>
      <c r="I237" s="205" t="str">
        <f>_xlfn.XLOOKUP($H237,'(backend scoring)'!$S$2:$S$333,'(backend scoring)'!$A$2:$A$333,"")</f>
        <v/>
      </c>
      <c r="J237" s="205" t="str">
        <f>IFERROR(VLOOKUP($I237,'Institution Evaluation'!$A$55:$F$345,2,0),IFERROR(VLOOKUP($I237,'Privacy Analyst Evaluation'!$A$46:$F$120,2,0),""))</f>
        <v/>
      </c>
      <c r="K237" s="205" t="str">
        <f>IFERROR(VLOOKUP($I237,'Institution Evaluation'!$A$55:$F$345,3,0),IFERROR(VLOOKUP($I237,'Privacy Analyst Evaluation'!$A$46:$F$120,3,0),""))&amp;""</f>
        <v/>
      </c>
      <c r="L237" s="205" t="str">
        <f>IFERROR(VLOOKUP($I237,'Institution Evaluation'!$A$55:$F$345,4,0),IFERROR(VLOOKUP($I237,'Privacy Analyst Evaluation'!$A$46:$F$120,4,0),""))&amp;""</f>
        <v/>
      </c>
      <c r="M237" s="205" t="str">
        <f>IFERROR(VLOOKUP($I237,'Institution Evaluation'!$A$55:$F$345,6,0),IFERROR(VLOOKUP($I237,'Privacy Analyst Evaluation'!$A$46:$F$120,6,0),""))&amp;""</f>
        <v/>
      </c>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row>
    <row r="238" spans="1:338" x14ac:dyDescent="0.3">
      <c r="A238" s="205" t="str">
        <f>IFERROR(IF($A237+1&gt;'(backend scoring)'!$T$335,"",$A237+1),"")</f>
        <v/>
      </c>
      <c r="B238" s="205" t="str">
        <f>_xlfn.XLOOKUP($A238,'(backend scoring)'!$V$2:$V$333,'(backend scoring)'!$A$2:$A$333,"")</f>
        <v/>
      </c>
      <c r="C238" s="205" t="str">
        <f>IFERROR(VLOOKUP($B238,'Institution Evaluation'!$A$55:$F$345,2,0),IFERROR(VLOOKUP($B238,'Privacy Analyst Evaluation'!$A$46:$F$120,2,0),""))&amp;""</f>
        <v/>
      </c>
      <c r="D238" s="205" t="str">
        <f>IFERROR(VLOOKUP($B238,'Institution Evaluation'!$A$55:$F$345,3,0),IFERROR(VLOOKUP($B238,'Privacy Analyst Evaluation'!$A$46:$F$120,3,0),""))&amp;""</f>
        <v/>
      </c>
      <c r="E238" s="205" t="str">
        <f>IFERROR(VLOOKUP($B238,'Institution Evaluation'!$A$55:$F$345,4,0),IFERROR(VLOOKUP($B238,'Privacy Analyst Evaluation'!$A$46:$F$120,4,0),""))&amp;""</f>
        <v/>
      </c>
      <c r="F238" s="205" t="str">
        <f>IFERROR(VLOOKUP($B238,'Institution Evaluation'!$A$55:$F$345,6,0),IFERROR(VLOOKUP($B238,'Privacy Analyst Evaluation'!$A$46:$F$120,6,0),""))&amp;""</f>
        <v/>
      </c>
      <c r="G238" s="206"/>
      <c r="H238" s="205" t="str">
        <f>IFERROR(IF($H237+1&gt;'(backend scoring)'!$Q$335,"",$H237+1),"")</f>
        <v/>
      </c>
      <c r="I238" s="205" t="str">
        <f>_xlfn.XLOOKUP($H238,'(backend scoring)'!$S$2:$S$333,'(backend scoring)'!$A$2:$A$333,"")</f>
        <v/>
      </c>
      <c r="J238" s="205" t="str">
        <f>IFERROR(VLOOKUP($I238,'Institution Evaluation'!$A$55:$F$345,2,0),IFERROR(VLOOKUP($I238,'Privacy Analyst Evaluation'!$A$46:$F$120,2,0),""))</f>
        <v/>
      </c>
      <c r="K238" s="205" t="str">
        <f>IFERROR(VLOOKUP($I238,'Institution Evaluation'!$A$55:$F$345,3,0),IFERROR(VLOOKUP($I238,'Privacy Analyst Evaluation'!$A$46:$F$120,3,0),""))&amp;""</f>
        <v/>
      </c>
      <c r="L238" s="205" t="str">
        <f>IFERROR(VLOOKUP($I238,'Institution Evaluation'!$A$55:$F$345,4,0),IFERROR(VLOOKUP($I238,'Privacy Analyst Evaluation'!$A$46:$F$120,4,0),""))&amp;""</f>
        <v/>
      </c>
      <c r="M238" s="205" t="str">
        <f>IFERROR(VLOOKUP($I238,'Institution Evaluation'!$A$55:$F$345,6,0),IFERROR(VLOOKUP($I238,'Privacy Analyst Evaluation'!$A$46:$F$120,6,0),""))&amp;""</f>
        <v/>
      </c>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row>
    <row r="239" spans="1:338" x14ac:dyDescent="0.3">
      <c r="A239" s="205" t="str">
        <f>IFERROR(IF($A238+1&gt;'(backend scoring)'!$T$335,"",$A238+1),"")</f>
        <v/>
      </c>
      <c r="B239" s="205" t="str">
        <f>_xlfn.XLOOKUP($A239,'(backend scoring)'!$V$2:$V$333,'(backend scoring)'!$A$2:$A$333,"")</f>
        <v/>
      </c>
      <c r="C239" s="205" t="str">
        <f>IFERROR(VLOOKUP($B239,'Institution Evaluation'!$A$55:$F$345,2,0),IFERROR(VLOOKUP($B239,'Privacy Analyst Evaluation'!$A$46:$F$120,2,0),""))&amp;""</f>
        <v/>
      </c>
      <c r="D239" s="205" t="str">
        <f>IFERROR(VLOOKUP($B239,'Institution Evaluation'!$A$55:$F$345,3,0),IFERROR(VLOOKUP($B239,'Privacy Analyst Evaluation'!$A$46:$F$120,3,0),""))&amp;""</f>
        <v/>
      </c>
      <c r="E239" s="205" t="str">
        <f>IFERROR(VLOOKUP($B239,'Institution Evaluation'!$A$55:$F$345,4,0),IFERROR(VLOOKUP($B239,'Privacy Analyst Evaluation'!$A$46:$F$120,4,0),""))&amp;""</f>
        <v/>
      </c>
      <c r="F239" s="205" t="str">
        <f>IFERROR(VLOOKUP($B239,'Institution Evaluation'!$A$55:$F$345,6,0),IFERROR(VLOOKUP($B239,'Privacy Analyst Evaluation'!$A$46:$F$120,6,0),""))&amp;""</f>
        <v/>
      </c>
      <c r="G239" s="206"/>
      <c r="H239" s="205" t="str">
        <f>IFERROR(IF($H238+1&gt;'(backend scoring)'!$Q$335,"",$H238+1),"")</f>
        <v/>
      </c>
      <c r="I239" s="205" t="str">
        <f>_xlfn.XLOOKUP($H239,'(backend scoring)'!$S$2:$S$333,'(backend scoring)'!$A$2:$A$333,"")</f>
        <v/>
      </c>
      <c r="J239" s="205" t="str">
        <f>IFERROR(VLOOKUP($I239,'Institution Evaluation'!$A$55:$F$345,2,0),IFERROR(VLOOKUP($I239,'Privacy Analyst Evaluation'!$A$46:$F$120,2,0),""))</f>
        <v/>
      </c>
      <c r="K239" s="205" t="str">
        <f>IFERROR(VLOOKUP($I239,'Institution Evaluation'!$A$55:$F$345,3,0),IFERROR(VLOOKUP($I239,'Privacy Analyst Evaluation'!$A$46:$F$120,3,0),""))&amp;""</f>
        <v/>
      </c>
      <c r="L239" s="205" t="str">
        <f>IFERROR(VLOOKUP($I239,'Institution Evaluation'!$A$55:$F$345,4,0),IFERROR(VLOOKUP($I239,'Privacy Analyst Evaluation'!$A$46:$F$120,4,0),""))&amp;""</f>
        <v/>
      </c>
      <c r="M239" s="205" t="str">
        <f>IFERROR(VLOOKUP($I239,'Institution Evaluation'!$A$55:$F$345,6,0),IFERROR(VLOOKUP($I239,'Privacy Analyst Evaluation'!$A$46:$F$120,6,0),""))&amp;""</f>
        <v/>
      </c>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row>
    <row r="240" spans="1:338" x14ac:dyDescent="0.3">
      <c r="A240" s="205" t="str">
        <f>IFERROR(IF($A239+1&gt;'(backend scoring)'!$T$335,"",$A239+1),"")</f>
        <v/>
      </c>
      <c r="B240" s="205" t="str">
        <f>_xlfn.XLOOKUP($A240,'(backend scoring)'!$V$2:$V$333,'(backend scoring)'!$A$2:$A$333,"")</f>
        <v/>
      </c>
      <c r="C240" s="205" t="str">
        <f>IFERROR(VLOOKUP($B240,'Institution Evaluation'!$A$55:$F$345,2,0),IFERROR(VLOOKUP($B240,'Privacy Analyst Evaluation'!$A$46:$F$120,2,0),""))&amp;""</f>
        <v/>
      </c>
      <c r="D240" s="205" t="str">
        <f>IFERROR(VLOOKUP($B240,'Institution Evaluation'!$A$55:$F$345,3,0),IFERROR(VLOOKUP($B240,'Privacy Analyst Evaluation'!$A$46:$F$120,3,0),""))&amp;""</f>
        <v/>
      </c>
      <c r="E240" s="205" t="str">
        <f>IFERROR(VLOOKUP($B240,'Institution Evaluation'!$A$55:$F$345,4,0),IFERROR(VLOOKUP($B240,'Privacy Analyst Evaluation'!$A$46:$F$120,4,0),""))&amp;""</f>
        <v/>
      </c>
      <c r="F240" s="205" t="str">
        <f>IFERROR(VLOOKUP($B240,'Institution Evaluation'!$A$55:$F$345,6,0),IFERROR(VLOOKUP($B240,'Privacy Analyst Evaluation'!$A$46:$F$120,6,0),""))&amp;""</f>
        <v/>
      </c>
      <c r="G240" s="206"/>
      <c r="H240" s="205" t="str">
        <f>IFERROR(IF($H239+1&gt;'(backend scoring)'!$Q$335,"",$H239+1),"")</f>
        <v/>
      </c>
      <c r="I240" s="205" t="str">
        <f>_xlfn.XLOOKUP($H240,'(backend scoring)'!$S$2:$S$333,'(backend scoring)'!$A$2:$A$333,"")</f>
        <v/>
      </c>
      <c r="J240" s="205" t="str">
        <f>IFERROR(VLOOKUP($I240,'Institution Evaluation'!$A$55:$F$345,2,0),IFERROR(VLOOKUP($I240,'Privacy Analyst Evaluation'!$A$46:$F$120,2,0),""))</f>
        <v/>
      </c>
      <c r="K240" s="205" t="str">
        <f>IFERROR(VLOOKUP($I240,'Institution Evaluation'!$A$55:$F$345,3,0),IFERROR(VLOOKUP($I240,'Privacy Analyst Evaluation'!$A$46:$F$120,3,0),""))&amp;""</f>
        <v/>
      </c>
      <c r="L240" s="205" t="str">
        <f>IFERROR(VLOOKUP($I240,'Institution Evaluation'!$A$55:$F$345,4,0),IFERROR(VLOOKUP($I240,'Privacy Analyst Evaluation'!$A$46:$F$120,4,0),""))&amp;""</f>
        <v/>
      </c>
      <c r="M240" s="205" t="str">
        <f>IFERROR(VLOOKUP($I240,'Institution Evaluation'!$A$55:$F$345,6,0),IFERROR(VLOOKUP($I240,'Privacy Analyst Evaluation'!$A$46:$F$120,6,0),""))&amp;""</f>
        <v/>
      </c>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row>
    <row r="241" spans="1:338" x14ac:dyDescent="0.3">
      <c r="A241" s="205" t="str">
        <f>IFERROR(IF($A240+1&gt;'(backend scoring)'!$T$335,"",$A240+1),"")</f>
        <v/>
      </c>
      <c r="B241" s="205" t="str">
        <f>_xlfn.XLOOKUP($A241,'(backend scoring)'!$V$2:$V$333,'(backend scoring)'!$A$2:$A$333,"")</f>
        <v/>
      </c>
      <c r="C241" s="205" t="str">
        <f>IFERROR(VLOOKUP($B241,'Institution Evaluation'!$A$55:$F$345,2,0),IFERROR(VLOOKUP($B241,'Privacy Analyst Evaluation'!$A$46:$F$120,2,0),""))&amp;""</f>
        <v/>
      </c>
      <c r="D241" s="205" t="str">
        <f>IFERROR(VLOOKUP($B241,'Institution Evaluation'!$A$55:$F$345,3,0),IFERROR(VLOOKUP($B241,'Privacy Analyst Evaluation'!$A$46:$F$120,3,0),""))&amp;""</f>
        <v/>
      </c>
      <c r="E241" s="205" t="str">
        <f>IFERROR(VLOOKUP($B241,'Institution Evaluation'!$A$55:$F$345,4,0),IFERROR(VLOOKUP($B241,'Privacy Analyst Evaluation'!$A$46:$F$120,4,0),""))&amp;""</f>
        <v/>
      </c>
      <c r="F241" s="205" t="str">
        <f>IFERROR(VLOOKUP($B241,'Institution Evaluation'!$A$55:$F$345,6,0),IFERROR(VLOOKUP($B241,'Privacy Analyst Evaluation'!$A$46:$F$120,6,0),""))&amp;""</f>
        <v/>
      </c>
      <c r="G241" s="206"/>
      <c r="H241" s="205" t="str">
        <f>IFERROR(IF($H240+1&gt;'(backend scoring)'!$Q$335,"",$H240+1),"")</f>
        <v/>
      </c>
      <c r="I241" s="205" t="str">
        <f>_xlfn.XLOOKUP($H241,'(backend scoring)'!$S$2:$S$333,'(backend scoring)'!$A$2:$A$333,"")</f>
        <v/>
      </c>
      <c r="J241" s="205" t="str">
        <f>IFERROR(VLOOKUP($I241,'Institution Evaluation'!$A$55:$F$345,2,0),IFERROR(VLOOKUP($I241,'Privacy Analyst Evaluation'!$A$46:$F$120,2,0),""))</f>
        <v/>
      </c>
      <c r="K241" s="205" t="str">
        <f>IFERROR(VLOOKUP($I241,'Institution Evaluation'!$A$55:$F$345,3,0),IFERROR(VLOOKUP($I241,'Privacy Analyst Evaluation'!$A$46:$F$120,3,0),""))&amp;""</f>
        <v/>
      </c>
      <c r="L241" s="205" t="str">
        <f>IFERROR(VLOOKUP($I241,'Institution Evaluation'!$A$55:$F$345,4,0),IFERROR(VLOOKUP($I241,'Privacy Analyst Evaluation'!$A$46:$F$120,4,0),""))&amp;""</f>
        <v/>
      </c>
      <c r="M241" s="205" t="str">
        <f>IFERROR(VLOOKUP($I241,'Institution Evaluation'!$A$55:$F$345,6,0),IFERROR(VLOOKUP($I241,'Privacy Analyst Evaluation'!$A$46:$F$120,6,0),""))&amp;""</f>
        <v/>
      </c>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row>
    <row r="242" spans="1:338" x14ac:dyDescent="0.3">
      <c r="A242" s="205" t="str">
        <f>IFERROR(IF($A241+1&gt;'(backend scoring)'!$T$335,"",$A241+1),"")</f>
        <v/>
      </c>
      <c r="B242" s="205" t="str">
        <f>_xlfn.XLOOKUP($A242,'(backend scoring)'!$V$2:$V$333,'(backend scoring)'!$A$2:$A$333,"")</f>
        <v/>
      </c>
      <c r="C242" s="205" t="str">
        <f>IFERROR(VLOOKUP($B242,'Institution Evaluation'!$A$55:$F$345,2,0),IFERROR(VLOOKUP($B242,'Privacy Analyst Evaluation'!$A$46:$F$120,2,0),""))&amp;""</f>
        <v/>
      </c>
      <c r="D242" s="205" t="str">
        <f>IFERROR(VLOOKUP($B242,'Institution Evaluation'!$A$55:$F$345,3,0),IFERROR(VLOOKUP($B242,'Privacy Analyst Evaluation'!$A$46:$F$120,3,0),""))&amp;""</f>
        <v/>
      </c>
      <c r="E242" s="205" t="str">
        <f>IFERROR(VLOOKUP($B242,'Institution Evaluation'!$A$55:$F$345,4,0),IFERROR(VLOOKUP($B242,'Privacy Analyst Evaluation'!$A$46:$F$120,4,0),""))&amp;""</f>
        <v/>
      </c>
      <c r="F242" s="205" t="str">
        <f>IFERROR(VLOOKUP($B242,'Institution Evaluation'!$A$55:$F$345,6,0),IFERROR(VLOOKUP($B242,'Privacy Analyst Evaluation'!$A$46:$F$120,6,0),""))&amp;""</f>
        <v/>
      </c>
      <c r="G242" s="206"/>
      <c r="H242" s="205" t="str">
        <f>IFERROR(IF($H241+1&gt;'(backend scoring)'!$Q$335,"",$H241+1),"")</f>
        <v/>
      </c>
      <c r="I242" s="205" t="str">
        <f>_xlfn.XLOOKUP($H242,'(backend scoring)'!$S$2:$S$333,'(backend scoring)'!$A$2:$A$333,"")</f>
        <v/>
      </c>
      <c r="J242" s="205" t="str">
        <f>IFERROR(VLOOKUP($I242,'Institution Evaluation'!$A$55:$F$345,2,0),IFERROR(VLOOKUP($I242,'Privacy Analyst Evaluation'!$A$46:$F$120,2,0),""))</f>
        <v/>
      </c>
      <c r="K242" s="205" t="str">
        <f>IFERROR(VLOOKUP($I242,'Institution Evaluation'!$A$55:$F$345,3,0),IFERROR(VLOOKUP($I242,'Privacy Analyst Evaluation'!$A$46:$F$120,3,0),""))&amp;""</f>
        <v/>
      </c>
      <c r="L242" s="205" t="str">
        <f>IFERROR(VLOOKUP($I242,'Institution Evaluation'!$A$55:$F$345,4,0),IFERROR(VLOOKUP($I242,'Privacy Analyst Evaluation'!$A$46:$F$120,4,0),""))&amp;""</f>
        <v/>
      </c>
      <c r="M242" s="205" t="str">
        <f>IFERROR(VLOOKUP($I242,'Institution Evaluation'!$A$55:$F$345,6,0),IFERROR(VLOOKUP($I242,'Privacy Analyst Evaluation'!$A$46:$F$120,6,0),""))&amp;""</f>
        <v/>
      </c>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row>
    <row r="243" spans="1:338" x14ac:dyDescent="0.3">
      <c r="A243" s="205" t="str">
        <f>IFERROR(IF($A242+1&gt;'(backend scoring)'!$T$335,"",$A242+1),"")</f>
        <v/>
      </c>
      <c r="B243" s="205" t="str">
        <f>_xlfn.XLOOKUP($A243,'(backend scoring)'!$V$2:$V$333,'(backend scoring)'!$A$2:$A$333,"")</f>
        <v/>
      </c>
      <c r="C243" s="205" t="str">
        <f>IFERROR(VLOOKUP($B243,'Institution Evaluation'!$A$55:$F$345,2,0),IFERROR(VLOOKUP($B243,'Privacy Analyst Evaluation'!$A$46:$F$120,2,0),""))&amp;""</f>
        <v/>
      </c>
      <c r="D243" s="205" t="str">
        <f>IFERROR(VLOOKUP($B243,'Institution Evaluation'!$A$55:$F$345,3,0),IFERROR(VLOOKUP($B243,'Privacy Analyst Evaluation'!$A$46:$F$120,3,0),""))&amp;""</f>
        <v/>
      </c>
      <c r="E243" s="205" t="str">
        <f>IFERROR(VLOOKUP($B243,'Institution Evaluation'!$A$55:$F$345,4,0),IFERROR(VLOOKUP($B243,'Privacy Analyst Evaluation'!$A$46:$F$120,4,0),""))&amp;""</f>
        <v/>
      </c>
      <c r="F243" s="205" t="str">
        <f>IFERROR(VLOOKUP($B243,'Institution Evaluation'!$A$55:$F$345,6,0),IFERROR(VLOOKUP($B243,'Privacy Analyst Evaluation'!$A$46:$F$120,6,0),""))&amp;""</f>
        <v/>
      </c>
      <c r="G243" s="206"/>
      <c r="H243" s="205" t="str">
        <f>IFERROR(IF($H242+1&gt;'(backend scoring)'!$Q$335,"",$H242+1),"")</f>
        <v/>
      </c>
      <c r="I243" s="205" t="str">
        <f>_xlfn.XLOOKUP($H243,'(backend scoring)'!$S$2:$S$333,'(backend scoring)'!$A$2:$A$333,"")</f>
        <v/>
      </c>
      <c r="J243" s="205" t="str">
        <f>IFERROR(VLOOKUP($I243,'Institution Evaluation'!$A$55:$F$345,2,0),IFERROR(VLOOKUP($I243,'Privacy Analyst Evaluation'!$A$46:$F$120,2,0),""))</f>
        <v/>
      </c>
      <c r="K243" s="205" t="str">
        <f>IFERROR(VLOOKUP($I243,'Institution Evaluation'!$A$55:$F$345,3,0),IFERROR(VLOOKUP($I243,'Privacy Analyst Evaluation'!$A$46:$F$120,3,0),""))&amp;""</f>
        <v/>
      </c>
      <c r="L243" s="205" t="str">
        <f>IFERROR(VLOOKUP($I243,'Institution Evaluation'!$A$55:$F$345,4,0),IFERROR(VLOOKUP($I243,'Privacy Analyst Evaluation'!$A$46:$F$120,4,0),""))&amp;""</f>
        <v/>
      </c>
      <c r="M243" s="205" t="str">
        <f>IFERROR(VLOOKUP($I243,'Institution Evaluation'!$A$55:$F$345,6,0),IFERROR(VLOOKUP($I243,'Privacy Analyst Evaluation'!$A$46:$F$120,6,0),""))&amp;""</f>
        <v/>
      </c>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row>
    <row r="244" spans="1:338" x14ac:dyDescent="0.3">
      <c r="A244" s="205" t="str">
        <f>IFERROR(IF($A243+1&gt;'(backend scoring)'!$T$335,"",$A243+1),"")</f>
        <v/>
      </c>
      <c r="B244" s="205" t="str">
        <f>_xlfn.XLOOKUP($A244,'(backend scoring)'!$V$2:$V$333,'(backend scoring)'!$A$2:$A$333,"")</f>
        <v/>
      </c>
      <c r="C244" s="205" t="str">
        <f>IFERROR(VLOOKUP($B244,'Institution Evaluation'!$A$55:$F$345,2,0),IFERROR(VLOOKUP($B244,'Privacy Analyst Evaluation'!$A$46:$F$120,2,0),""))&amp;""</f>
        <v/>
      </c>
      <c r="D244" s="205" t="str">
        <f>IFERROR(VLOOKUP($B244,'Institution Evaluation'!$A$55:$F$345,3,0),IFERROR(VLOOKUP($B244,'Privacy Analyst Evaluation'!$A$46:$F$120,3,0),""))&amp;""</f>
        <v/>
      </c>
      <c r="E244" s="205" t="str">
        <f>IFERROR(VLOOKUP($B244,'Institution Evaluation'!$A$55:$F$345,4,0),IFERROR(VLOOKUP($B244,'Privacy Analyst Evaluation'!$A$46:$F$120,4,0),""))&amp;""</f>
        <v/>
      </c>
      <c r="F244" s="205" t="str">
        <f>IFERROR(VLOOKUP($B244,'Institution Evaluation'!$A$55:$F$345,6,0),IFERROR(VLOOKUP($B244,'Privacy Analyst Evaluation'!$A$46:$F$120,6,0),""))&amp;""</f>
        <v/>
      </c>
      <c r="G244" s="206"/>
      <c r="H244" s="205" t="str">
        <f>IFERROR(IF($H243+1&gt;'(backend scoring)'!$Q$335,"",$H243+1),"")</f>
        <v/>
      </c>
      <c r="I244" s="205" t="str">
        <f>_xlfn.XLOOKUP($H244,'(backend scoring)'!$S$2:$S$333,'(backend scoring)'!$A$2:$A$333,"")</f>
        <v/>
      </c>
      <c r="J244" s="205" t="str">
        <f>IFERROR(VLOOKUP($I244,'Institution Evaluation'!$A$55:$F$345,2,0),IFERROR(VLOOKUP($I244,'Privacy Analyst Evaluation'!$A$46:$F$120,2,0),""))</f>
        <v/>
      </c>
      <c r="K244" s="205" t="str">
        <f>IFERROR(VLOOKUP($I244,'Institution Evaluation'!$A$55:$F$345,3,0),IFERROR(VLOOKUP($I244,'Privacy Analyst Evaluation'!$A$46:$F$120,3,0),""))&amp;""</f>
        <v/>
      </c>
      <c r="L244" s="205" t="str">
        <f>IFERROR(VLOOKUP($I244,'Institution Evaluation'!$A$55:$F$345,4,0),IFERROR(VLOOKUP($I244,'Privacy Analyst Evaluation'!$A$46:$F$120,4,0),""))&amp;""</f>
        <v/>
      </c>
      <c r="M244" s="205" t="str">
        <f>IFERROR(VLOOKUP($I244,'Institution Evaluation'!$A$55:$F$345,6,0),IFERROR(VLOOKUP($I244,'Privacy Analyst Evaluation'!$A$46:$F$120,6,0),""))&amp;""</f>
        <v/>
      </c>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row>
    <row r="245" spans="1:338" x14ac:dyDescent="0.3">
      <c r="A245" s="205" t="str">
        <f>IFERROR(IF($A244+1&gt;'(backend scoring)'!$T$335,"",$A244+1),"")</f>
        <v/>
      </c>
      <c r="B245" s="205" t="str">
        <f>_xlfn.XLOOKUP($A245,'(backend scoring)'!$V$2:$V$333,'(backend scoring)'!$A$2:$A$333,"")</f>
        <v/>
      </c>
      <c r="C245" s="205" t="str">
        <f>IFERROR(VLOOKUP($B245,'Institution Evaluation'!$A$55:$F$345,2,0),IFERROR(VLOOKUP($B245,'Privacy Analyst Evaluation'!$A$46:$F$120,2,0),""))&amp;""</f>
        <v/>
      </c>
      <c r="D245" s="205" t="str">
        <f>IFERROR(VLOOKUP($B245,'Institution Evaluation'!$A$55:$F$345,3,0),IFERROR(VLOOKUP($B245,'Privacy Analyst Evaluation'!$A$46:$F$120,3,0),""))&amp;""</f>
        <v/>
      </c>
      <c r="E245" s="205" t="str">
        <f>IFERROR(VLOOKUP($B245,'Institution Evaluation'!$A$55:$F$345,4,0),IFERROR(VLOOKUP($B245,'Privacy Analyst Evaluation'!$A$46:$F$120,4,0),""))&amp;""</f>
        <v/>
      </c>
      <c r="F245" s="205" t="str">
        <f>IFERROR(VLOOKUP($B245,'Institution Evaluation'!$A$55:$F$345,6,0),IFERROR(VLOOKUP($B245,'Privacy Analyst Evaluation'!$A$46:$F$120,6,0),""))&amp;""</f>
        <v/>
      </c>
      <c r="G245" s="206"/>
      <c r="H245" s="205" t="str">
        <f>IFERROR(IF($H244+1&gt;'(backend scoring)'!$Q$335,"",$H244+1),"")</f>
        <v/>
      </c>
      <c r="I245" s="205" t="str">
        <f>_xlfn.XLOOKUP($H245,'(backend scoring)'!$S$2:$S$333,'(backend scoring)'!$A$2:$A$333,"")</f>
        <v/>
      </c>
      <c r="J245" s="205" t="str">
        <f>IFERROR(VLOOKUP($I245,'Institution Evaluation'!$A$55:$F$345,2,0),IFERROR(VLOOKUP($I245,'Privacy Analyst Evaluation'!$A$46:$F$120,2,0),""))</f>
        <v/>
      </c>
      <c r="K245" s="205" t="str">
        <f>IFERROR(VLOOKUP($I245,'Institution Evaluation'!$A$55:$F$345,3,0),IFERROR(VLOOKUP($I245,'Privacy Analyst Evaluation'!$A$46:$F$120,3,0),""))&amp;""</f>
        <v/>
      </c>
      <c r="L245" s="205" t="str">
        <f>IFERROR(VLOOKUP($I245,'Institution Evaluation'!$A$55:$F$345,4,0),IFERROR(VLOOKUP($I245,'Privacy Analyst Evaluation'!$A$46:$F$120,4,0),""))&amp;""</f>
        <v/>
      </c>
      <c r="M245" s="205" t="str">
        <f>IFERROR(VLOOKUP($I245,'Institution Evaluation'!$A$55:$F$345,6,0),IFERROR(VLOOKUP($I245,'Privacy Analyst Evaluation'!$A$46:$F$120,6,0),""))&amp;""</f>
        <v/>
      </c>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row>
    <row r="246" spans="1:338" x14ac:dyDescent="0.3">
      <c r="A246" s="205" t="str">
        <f>IFERROR(IF($A245+1&gt;'(backend scoring)'!$T$335,"",$A245+1),"")</f>
        <v/>
      </c>
      <c r="B246" s="205" t="str">
        <f>_xlfn.XLOOKUP($A246,'(backend scoring)'!$V$2:$V$333,'(backend scoring)'!$A$2:$A$333,"")</f>
        <v/>
      </c>
      <c r="C246" s="205" t="str">
        <f>IFERROR(VLOOKUP($B246,'Institution Evaluation'!$A$55:$F$345,2,0),IFERROR(VLOOKUP($B246,'Privacy Analyst Evaluation'!$A$46:$F$120,2,0),""))&amp;""</f>
        <v/>
      </c>
      <c r="D246" s="205" t="str">
        <f>IFERROR(VLOOKUP($B246,'Institution Evaluation'!$A$55:$F$345,3,0),IFERROR(VLOOKUP($B246,'Privacy Analyst Evaluation'!$A$46:$F$120,3,0),""))&amp;""</f>
        <v/>
      </c>
      <c r="E246" s="205" t="str">
        <f>IFERROR(VLOOKUP($B246,'Institution Evaluation'!$A$55:$F$345,4,0),IFERROR(VLOOKUP($B246,'Privacy Analyst Evaluation'!$A$46:$F$120,4,0),""))&amp;""</f>
        <v/>
      </c>
      <c r="F246" s="205" t="str">
        <f>IFERROR(VLOOKUP($B246,'Institution Evaluation'!$A$55:$F$345,6,0),IFERROR(VLOOKUP($B246,'Privacy Analyst Evaluation'!$A$46:$F$120,6,0),""))&amp;""</f>
        <v/>
      </c>
      <c r="G246" s="206"/>
      <c r="H246" s="205" t="str">
        <f>IFERROR(IF($H245+1&gt;'(backend scoring)'!$Q$335,"",$H245+1),"")</f>
        <v/>
      </c>
      <c r="I246" s="205" t="str">
        <f>_xlfn.XLOOKUP($H246,'(backend scoring)'!$S$2:$S$333,'(backend scoring)'!$A$2:$A$333,"")</f>
        <v/>
      </c>
      <c r="J246" s="205" t="str">
        <f>IFERROR(VLOOKUP($I246,'Institution Evaluation'!$A$55:$F$345,2,0),IFERROR(VLOOKUP($I246,'Privacy Analyst Evaluation'!$A$46:$F$120,2,0),""))</f>
        <v/>
      </c>
      <c r="K246" s="205" t="str">
        <f>IFERROR(VLOOKUP($I246,'Institution Evaluation'!$A$55:$F$345,3,0),IFERROR(VLOOKUP($I246,'Privacy Analyst Evaluation'!$A$46:$F$120,3,0),""))&amp;""</f>
        <v/>
      </c>
      <c r="L246" s="205" t="str">
        <f>IFERROR(VLOOKUP($I246,'Institution Evaluation'!$A$55:$F$345,4,0),IFERROR(VLOOKUP($I246,'Privacy Analyst Evaluation'!$A$46:$F$120,4,0),""))&amp;""</f>
        <v/>
      </c>
      <c r="M246" s="205" t="str">
        <f>IFERROR(VLOOKUP($I246,'Institution Evaluation'!$A$55:$F$345,6,0),IFERROR(VLOOKUP($I246,'Privacy Analyst Evaluation'!$A$46:$F$120,6,0),""))&amp;""</f>
        <v/>
      </c>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row>
    <row r="247" spans="1:338" x14ac:dyDescent="0.3">
      <c r="A247" s="205" t="str">
        <f>IFERROR(IF($A246+1&gt;'(backend scoring)'!$T$335,"",$A246+1),"")</f>
        <v/>
      </c>
      <c r="B247" s="205" t="str">
        <f>_xlfn.XLOOKUP($A247,'(backend scoring)'!$V$2:$V$333,'(backend scoring)'!$A$2:$A$333,"")</f>
        <v/>
      </c>
      <c r="C247" s="205" t="str">
        <f>IFERROR(VLOOKUP($B247,'Institution Evaluation'!$A$55:$F$345,2,0),IFERROR(VLOOKUP($B247,'Privacy Analyst Evaluation'!$A$46:$F$120,2,0),""))&amp;""</f>
        <v/>
      </c>
      <c r="D247" s="205" t="str">
        <f>IFERROR(VLOOKUP($B247,'Institution Evaluation'!$A$55:$F$345,3,0),IFERROR(VLOOKUP($B247,'Privacy Analyst Evaluation'!$A$46:$F$120,3,0),""))&amp;""</f>
        <v/>
      </c>
      <c r="E247" s="205" t="str">
        <f>IFERROR(VLOOKUP($B247,'Institution Evaluation'!$A$55:$F$345,4,0),IFERROR(VLOOKUP($B247,'Privacy Analyst Evaluation'!$A$46:$F$120,4,0),""))&amp;""</f>
        <v/>
      </c>
      <c r="F247" s="205" t="str">
        <f>IFERROR(VLOOKUP($B247,'Institution Evaluation'!$A$55:$F$345,6,0),IFERROR(VLOOKUP($B247,'Privacy Analyst Evaluation'!$A$46:$F$120,6,0),""))&amp;""</f>
        <v/>
      </c>
      <c r="G247" s="206"/>
      <c r="H247" s="205" t="str">
        <f>IFERROR(IF($H246+1&gt;'(backend scoring)'!$Q$335,"",$H246+1),"")</f>
        <v/>
      </c>
      <c r="I247" s="205" t="str">
        <f>_xlfn.XLOOKUP($H247,'(backend scoring)'!$S$2:$S$333,'(backend scoring)'!$A$2:$A$333,"")</f>
        <v/>
      </c>
      <c r="J247" s="205" t="str">
        <f>IFERROR(VLOOKUP($I247,'Institution Evaluation'!$A$55:$F$345,2,0),IFERROR(VLOOKUP($I247,'Privacy Analyst Evaluation'!$A$46:$F$120,2,0),""))</f>
        <v/>
      </c>
      <c r="K247" s="205" t="str">
        <f>IFERROR(VLOOKUP($I247,'Institution Evaluation'!$A$55:$F$345,3,0),IFERROR(VLOOKUP($I247,'Privacy Analyst Evaluation'!$A$46:$F$120,3,0),""))&amp;""</f>
        <v/>
      </c>
      <c r="L247" s="205" t="str">
        <f>IFERROR(VLOOKUP($I247,'Institution Evaluation'!$A$55:$F$345,4,0),IFERROR(VLOOKUP($I247,'Privacy Analyst Evaluation'!$A$46:$F$120,4,0),""))&amp;""</f>
        <v/>
      </c>
      <c r="M247" s="205" t="str">
        <f>IFERROR(VLOOKUP($I247,'Institution Evaluation'!$A$55:$F$345,6,0),IFERROR(VLOOKUP($I247,'Privacy Analyst Evaluation'!$A$46:$F$120,6,0),""))&amp;""</f>
        <v/>
      </c>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row>
    <row r="248" spans="1:338" x14ac:dyDescent="0.3">
      <c r="A248" s="205" t="str">
        <f>IFERROR(IF($A247+1&gt;'(backend scoring)'!$T$335,"",$A247+1),"")</f>
        <v/>
      </c>
      <c r="B248" s="205" t="str">
        <f>_xlfn.XLOOKUP($A248,'(backend scoring)'!$V$2:$V$333,'(backend scoring)'!$A$2:$A$333,"")</f>
        <v/>
      </c>
      <c r="C248" s="205" t="str">
        <f>IFERROR(VLOOKUP($B248,'Institution Evaluation'!$A$55:$F$345,2,0),IFERROR(VLOOKUP($B248,'Privacy Analyst Evaluation'!$A$46:$F$120,2,0),""))&amp;""</f>
        <v/>
      </c>
      <c r="D248" s="205" t="str">
        <f>IFERROR(VLOOKUP($B248,'Institution Evaluation'!$A$55:$F$345,3,0),IFERROR(VLOOKUP($B248,'Privacy Analyst Evaluation'!$A$46:$F$120,3,0),""))&amp;""</f>
        <v/>
      </c>
      <c r="E248" s="205" t="str">
        <f>IFERROR(VLOOKUP($B248,'Institution Evaluation'!$A$55:$F$345,4,0),IFERROR(VLOOKUP($B248,'Privacy Analyst Evaluation'!$A$46:$F$120,4,0),""))&amp;""</f>
        <v/>
      </c>
      <c r="F248" s="205" t="str">
        <f>IFERROR(VLOOKUP($B248,'Institution Evaluation'!$A$55:$F$345,6,0),IFERROR(VLOOKUP($B248,'Privacy Analyst Evaluation'!$A$46:$F$120,6,0),""))&amp;""</f>
        <v/>
      </c>
      <c r="G248" s="206"/>
      <c r="H248" s="205" t="str">
        <f>IFERROR(IF($H247+1&gt;'(backend scoring)'!$Q$335,"",$H247+1),"")</f>
        <v/>
      </c>
      <c r="I248" s="205" t="str">
        <f>_xlfn.XLOOKUP($H248,'(backend scoring)'!$S$2:$S$333,'(backend scoring)'!$A$2:$A$333,"")</f>
        <v/>
      </c>
      <c r="J248" s="205" t="str">
        <f>IFERROR(VLOOKUP($I248,'Institution Evaluation'!$A$55:$F$345,2,0),IFERROR(VLOOKUP($I248,'Privacy Analyst Evaluation'!$A$46:$F$120,2,0),""))</f>
        <v/>
      </c>
      <c r="K248" s="205" t="str">
        <f>IFERROR(VLOOKUP($I248,'Institution Evaluation'!$A$55:$F$345,3,0),IFERROR(VLOOKUP($I248,'Privacy Analyst Evaluation'!$A$46:$F$120,3,0),""))&amp;""</f>
        <v/>
      </c>
      <c r="L248" s="205" t="str">
        <f>IFERROR(VLOOKUP($I248,'Institution Evaluation'!$A$55:$F$345,4,0),IFERROR(VLOOKUP($I248,'Privacy Analyst Evaluation'!$A$46:$F$120,4,0),""))&amp;""</f>
        <v/>
      </c>
      <c r="M248" s="205" t="str">
        <f>IFERROR(VLOOKUP($I248,'Institution Evaluation'!$A$55:$F$345,6,0),IFERROR(VLOOKUP($I248,'Privacy Analyst Evaluation'!$A$46:$F$120,6,0),""))&amp;""</f>
        <v/>
      </c>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row>
    <row r="249" spans="1:338" x14ac:dyDescent="0.3">
      <c r="A249" s="205" t="str">
        <f>IFERROR(IF($A248+1&gt;'(backend scoring)'!$T$335,"",$A248+1),"")</f>
        <v/>
      </c>
      <c r="B249" s="205" t="str">
        <f>_xlfn.XLOOKUP($A249,'(backend scoring)'!$V$2:$V$333,'(backend scoring)'!$A$2:$A$333,"")</f>
        <v/>
      </c>
      <c r="C249" s="205" t="str">
        <f>IFERROR(VLOOKUP($B249,'Institution Evaluation'!$A$55:$F$345,2,0),IFERROR(VLOOKUP($B249,'Privacy Analyst Evaluation'!$A$46:$F$120,2,0),""))&amp;""</f>
        <v/>
      </c>
      <c r="D249" s="205" t="str">
        <f>IFERROR(VLOOKUP($B249,'Institution Evaluation'!$A$55:$F$345,3,0),IFERROR(VLOOKUP($B249,'Privacy Analyst Evaluation'!$A$46:$F$120,3,0),""))&amp;""</f>
        <v/>
      </c>
      <c r="E249" s="205" t="str">
        <f>IFERROR(VLOOKUP($B249,'Institution Evaluation'!$A$55:$F$345,4,0),IFERROR(VLOOKUP($B249,'Privacy Analyst Evaluation'!$A$46:$F$120,4,0),""))&amp;""</f>
        <v/>
      </c>
      <c r="F249" s="205" t="str">
        <f>IFERROR(VLOOKUP($B249,'Institution Evaluation'!$A$55:$F$345,6,0),IFERROR(VLOOKUP($B249,'Privacy Analyst Evaluation'!$A$46:$F$120,6,0),""))&amp;""</f>
        <v/>
      </c>
      <c r="G249" s="206"/>
      <c r="H249" s="205" t="str">
        <f>IFERROR(IF($H248+1&gt;'(backend scoring)'!$Q$335,"",$H248+1),"")</f>
        <v/>
      </c>
      <c r="I249" s="205" t="str">
        <f>_xlfn.XLOOKUP($H249,'(backend scoring)'!$S$2:$S$333,'(backend scoring)'!$A$2:$A$333,"")</f>
        <v/>
      </c>
      <c r="J249" s="205" t="str">
        <f>IFERROR(VLOOKUP($I249,'Institution Evaluation'!$A$55:$F$345,2,0),IFERROR(VLOOKUP($I249,'Privacy Analyst Evaluation'!$A$46:$F$120,2,0),""))</f>
        <v/>
      </c>
      <c r="K249" s="205" t="str">
        <f>IFERROR(VLOOKUP($I249,'Institution Evaluation'!$A$55:$F$345,3,0),IFERROR(VLOOKUP($I249,'Privacy Analyst Evaluation'!$A$46:$F$120,3,0),""))&amp;""</f>
        <v/>
      </c>
      <c r="L249" s="205" t="str">
        <f>IFERROR(VLOOKUP($I249,'Institution Evaluation'!$A$55:$F$345,4,0),IFERROR(VLOOKUP($I249,'Privacy Analyst Evaluation'!$A$46:$F$120,4,0),""))&amp;""</f>
        <v/>
      </c>
      <c r="M249" s="205" t="str">
        <f>IFERROR(VLOOKUP($I249,'Institution Evaluation'!$A$55:$F$345,6,0),IFERROR(VLOOKUP($I249,'Privacy Analyst Evaluation'!$A$46:$F$120,6,0),""))&amp;""</f>
        <v/>
      </c>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row>
    <row r="250" spans="1:338" x14ac:dyDescent="0.3">
      <c r="A250" s="205" t="str">
        <f>IFERROR(IF($A249+1&gt;'(backend scoring)'!$T$335,"",$A249+1),"")</f>
        <v/>
      </c>
      <c r="B250" s="205" t="str">
        <f>_xlfn.XLOOKUP($A250,'(backend scoring)'!$V$2:$V$333,'(backend scoring)'!$A$2:$A$333,"")</f>
        <v/>
      </c>
      <c r="C250" s="205" t="str">
        <f>IFERROR(VLOOKUP($B250,'Institution Evaluation'!$A$55:$F$345,2,0),IFERROR(VLOOKUP($B250,'Privacy Analyst Evaluation'!$A$46:$F$120,2,0),""))&amp;""</f>
        <v/>
      </c>
      <c r="D250" s="205" t="str">
        <f>IFERROR(VLOOKUP($B250,'Institution Evaluation'!$A$55:$F$345,3,0),IFERROR(VLOOKUP($B250,'Privacy Analyst Evaluation'!$A$46:$F$120,3,0),""))&amp;""</f>
        <v/>
      </c>
      <c r="E250" s="205" t="str">
        <f>IFERROR(VLOOKUP($B250,'Institution Evaluation'!$A$55:$F$345,4,0),IFERROR(VLOOKUP($B250,'Privacy Analyst Evaluation'!$A$46:$F$120,4,0),""))&amp;""</f>
        <v/>
      </c>
      <c r="F250" s="205" t="str">
        <f>IFERROR(VLOOKUP($B250,'Institution Evaluation'!$A$55:$F$345,6,0),IFERROR(VLOOKUP($B250,'Privacy Analyst Evaluation'!$A$46:$F$120,6,0),""))&amp;""</f>
        <v/>
      </c>
      <c r="G250" s="206"/>
      <c r="H250" s="205" t="str">
        <f>IFERROR(IF($H249+1&gt;'(backend scoring)'!$Q$335,"",$H249+1),"")</f>
        <v/>
      </c>
      <c r="I250" s="205" t="str">
        <f>_xlfn.XLOOKUP($H250,'(backend scoring)'!$S$2:$S$333,'(backend scoring)'!$A$2:$A$333,"")</f>
        <v/>
      </c>
      <c r="J250" s="205" t="str">
        <f>IFERROR(VLOOKUP($I250,'Institution Evaluation'!$A$55:$F$345,2,0),IFERROR(VLOOKUP($I250,'Privacy Analyst Evaluation'!$A$46:$F$120,2,0),""))</f>
        <v/>
      </c>
      <c r="K250" s="205" t="str">
        <f>IFERROR(VLOOKUP($I250,'Institution Evaluation'!$A$55:$F$345,3,0),IFERROR(VLOOKUP($I250,'Privacy Analyst Evaluation'!$A$46:$F$120,3,0),""))&amp;""</f>
        <v/>
      </c>
      <c r="L250" s="205" t="str">
        <f>IFERROR(VLOOKUP($I250,'Institution Evaluation'!$A$55:$F$345,4,0),IFERROR(VLOOKUP($I250,'Privacy Analyst Evaluation'!$A$46:$F$120,4,0),""))&amp;""</f>
        <v/>
      </c>
      <c r="M250" s="205" t="str">
        <f>IFERROR(VLOOKUP($I250,'Institution Evaluation'!$A$55:$F$345,6,0),IFERROR(VLOOKUP($I250,'Privacy Analyst Evaluation'!$A$46:$F$120,6,0),""))&amp;""</f>
        <v/>
      </c>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row>
    <row r="251" spans="1:338" x14ac:dyDescent="0.3">
      <c r="A251" s="205" t="str">
        <f>IFERROR(IF($A250+1&gt;'(backend scoring)'!$T$335,"",$A250+1),"")</f>
        <v/>
      </c>
      <c r="B251" s="205" t="str">
        <f>_xlfn.XLOOKUP($A251,'(backend scoring)'!$V$2:$V$333,'(backend scoring)'!$A$2:$A$333,"")</f>
        <v/>
      </c>
      <c r="C251" s="205" t="str">
        <f>IFERROR(VLOOKUP($B251,'Institution Evaluation'!$A$55:$F$345,2,0),IFERROR(VLOOKUP($B251,'Privacy Analyst Evaluation'!$A$46:$F$120,2,0),""))&amp;""</f>
        <v/>
      </c>
      <c r="D251" s="205" t="str">
        <f>IFERROR(VLOOKUP($B251,'Institution Evaluation'!$A$55:$F$345,3,0),IFERROR(VLOOKUP($B251,'Privacy Analyst Evaluation'!$A$46:$F$120,3,0),""))&amp;""</f>
        <v/>
      </c>
      <c r="E251" s="205" t="str">
        <f>IFERROR(VLOOKUP($B251,'Institution Evaluation'!$A$55:$F$345,4,0),IFERROR(VLOOKUP($B251,'Privacy Analyst Evaluation'!$A$46:$F$120,4,0),""))&amp;""</f>
        <v/>
      </c>
      <c r="F251" s="205" t="str">
        <f>IFERROR(VLOOKUP($B251,'Institution Evaluation'!$A$55:$F$345,6,0),IFERROR(VLOOKUP($B251,'Privacy Analyst Evaluation'!$A$46:$F$120,6,0),""))&amp;""</f>
        <v/>
      </c>
      <c r="G251" s="206"/>
      <c r="H251" s="205" t="str">
        <f>IFERROR(IF($H250+1&gt;'(backend scoring)'!$Q$335,"",$H250+1),"")</f>
        <v/>
      </c>
      <c r="I251" s="205" t="str">
        <f>_xlfn.XLOOKUP($H251,'(backend scoring)'!$S$2:$S$333,'(backend scoring)'!$A$2:$A$333,"")</f>
        <v/>
      </c>
      <c r="J251" s="205" t="str">
        <f>IFERROR(VLOOKUP($I251,'Institution Evaluation'!$A$55:$F$345,2,0),IFERROR(VLOOKUP($I251,'Privacy Analyst Evaluation'!$A$46:$F$120,2,0),""))</f>
        <v/>
      </c>
      <c r="K251" s="205" t="str">
        <f>IFERROR(VLOOKUP($I251,'Institution Evaluation'!$A$55:$F$345,3,0),IFERROR(VLOOKUP($I251,'Privacy Analyst Evaluation'!$A$46:$F$120,3,0),""))&amp;""</f>
        <v/>
      </c>
      <c r="L251" s="205" t="str">
        <f>IFERROR(VLOOKUP($I251,'Institution Evaluation'!$A$55:$F$345,4,0),IFERROR(VLOOKUP($I251,'Privacy Analyst Evaluation'!$A$46:$F$120,4,0),""))&amp;""</f>
        <v/>
      </c>
      <c r="M251" s="205" t="str">
        <f>IFERROR(VLOOKUP($I251,'Institution Evaluation'!$A$55:$F$345,6,0),IFERROR(VLOOKUP($I251,'Privacy Analyst Evaluation'!$A$46:$F$120,6,0),""))&amp;""</f>
        <v/>
      </c>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row>
    <row r="252" spans="1:338" x14ac:dyDescent="0.3">
      <c r="A252" s="205" t="str">
        <f>IFERROR(IF($A251+1&gt;'(backend scoring)'!$T$335,"",$A251+1),"")</f>
        <v/>
      </c>
      <c r="B252" s="205" t="str">
        <f>_xlfn.XLOOKUP($A252,'(backend scoring)'!$V$2:$V$333,'(backend scoring)'!$A$2:$A$333,"")</f>
        <v/>
      </c>
      <c r="C252" s="205" t="str">
        <f>IFERROR(VLOOKUP($B252,'Institution Evaluation'!$A$55:$F$345,2,0),IFERROR(VLOOKUP($B252,'Privacy Analyst Evaluation'!$A$46:$F$120,2,0),""))&amp;""</f>
        <v/>
      </c>
      <c r="D252" s="205" t="str">
        <f>IFERROR(VLOOKUP($B252,'Institution Evaluation'!$A$55:$F$345,3,0),IFERROR(VLOOKUP($B252,'Privacy Analyst Evaluation'!$A$46:$F$120,3,0),""))&amp;""</f>
        <v/>
      </c>
      <c r="E252" s="205" t="str">
        <f>IFERROR(VLOOKUP($B252,'Institution Evaluation'!$A$55:$F$345,4,0),IFERROR(VLOOKUP($B252,'Privacy Analyst Evaluation'!$A$46:$F$120,4,0),""))&amp;""</f>
        <v/>
      </c>
      <c r="F252" s="205" t="str">
        <f>IFERROR(VLOOKUP($B252,'Institution Evaluation'!$A$55:$F$345,6,0),IFERROR(VLOOKUP($B252,'Privacy Analyst Evaluation'!$A$46:$F$120,6,0),""))&amp;""</f>
        <v/>
      </c>
      <c r="G252" s="206"/>
      <c r="H252" s="205" t="str">
        <f>IFERROR(IF($H251+1&gt;'(backend scoring)'!$Q$335,"",$H251+1),"")</f>
        <v/>
      </c>
      <c r="I252" s="205" t="str">
        <f>_xlfn.XLOOKUP($H252,'(backend scoring)'!$S$2:$S$333,'(backend scoring)'!$A$2:$A$333,"")</f>
        <v/>
      </c>
      <c r="J252" s="205" t="str">
        <f>IFERROR(VLOOKUP($I252,'Institution Evaluation'!$A$55:$F$345,2,0),IFERROR(VLOOKUP($I252,'Privacy Analyst Evaluation'!$A$46:$F$120,2,0),""))</f>
        <v/>
      </c>
      <c r="K252" s="205" t="str">
        <f>IFERROR(VLOOKUP($I252,'Institution Evaluation'!$A$55:$F$345,3,0),IFERROR(VLOOKUP($I252,'Privacy Analyst Evaluation'!$A$46:$F$120,3,0),""))&amp;""</f>
        <v/>
      </c>
      <c r="L252" s="205" t="str">
        <f>IFERROR(VLOOKUP($I252,'Institution Evaluation'!$A$55:$F$345,4,0),IFERROR(VLOOKUP($I252,'Privacy Analyst Evaluation'!$A$46:$F$120,4,0),""))&amp;""</f>
        <v/>
      </c>
      <c r="M252" s="205" t="str">
        <f>IFERROR(VLOOKUP($I252,'Institution Evaluation'!$A$55:$F$345,6,0),IFERROR(VLOOKUP($I252,'Privacy Analyst Evaluation'!$A$46:$F$120,6,0),""))&amp;""</f>
        <v/>
      </c>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row>
    <row r="253" spans="1:338" x14ac:dyDescent="0.3">
      <c r="A253" s="205" t="str">
        <f>IFERROR(IF($A252+1&gt;'(backend scoring)'!$T$335,"",$A252+1),"")</f>
        <v/>
      </c>
      <c r="B253" s="205" t="str">
        <f>_xlfn.XLOOKUP($A253,'(backend scoring)'!$V$2:$V$333,'(backend scoring)'!$A$2:$A$333,"")</f>
        <v/>
      </c>
      <c r="C253" s="205" t="str">
        <f>IFERROR(VLOOKUP($B253,'Institution Evaluation'!$A$55:$F$345,2,0),IFERROR(VLOOKUP($B253,'Privacy Analyst Evaluation'!$A$46:$F$120,2,0),""))&amp;""</f>
        <v/>
      </c>
      <c r="D253" s="205" t="str">
        <f>IFERROR(VLOOKUP($B253,'Institution Evaluation'!$A$55:$F$345,3,0),IFERROR(VLOOKUP($B253,'Privacy Analyst Evaluation'!$A$46:$F$120,3,0),""))&amp;""</f>
        <v/>
      </c>
      <c r="E253" s="205" t="str">
        <f>IFERROR(VLOOKUP($B253,'Institution Evaluation'!$A$55:$F$345,4,0),IFERROR(VLOOKUP($B253,'Privacy Analyst Evaluation'!$A$46:$F$120,4,0),""))&amp;""</f>
        <v/>
      </c>
      <c r="F253" s="205" t="str">
        <f>IFERROR(VLOOKUP($B253,'Institution Evaluation'!$A$55:$F$345,6,0),IFERROR(VLOOKUP($B253,'Privacy Analyst Evaluation'!$A$46:$F$120,6,0),""))&amp;""</f>
        <v/>
      </c>
      <c r="G253" s="206"/>
      <c r="H253" s="205" t="str">
        <f>IFERROR(IF($H252+1&gt;'(backend scoring)'!$Q$335,"",$H252+1),"")</f>
        <v/>
      </c>
      <c r="I253" s="205" t="str">
        <f>_xlfn.XLOOKUP($H253,'(backend scoring)'!$S$2:$S$333,'(backend scoring)'!$A$2:$A$333,"")</f>
        <v/>
      </c>
      <c r="J253" s="205" t="str">
        <f>IFERROR(VLOOKUP($I253,'Institution Evaluation'!$A$55:$F$345,2,0),IFERROR(VLOOKUP($I253,'Privacy Analyst Evaluation'!$A$46:$F$120,2,0),""))</f>
        <v/>
      </c>
      <c r="K253" s="205" t="str">
        <f>IFERROR(VLOOKUP($I253,'Institution Evaluation'!$A$55:$F$345,3,0),IFERROR(VLOOKUP($I253,'Privacy Analyst Evaluation'!$A$46:$F$120,3,0),""))&amp;""</f>
        <v/>
      </c>
      <c r="L253" s="205" t="str">
        <f>IFERROR(VLOOKUP($I253,'Institution Evaluation'!$A$55:$F$345,4,0),IFERROR(VLOOKUP($I253,'Privacy Analyst Evaluation'!$A$46:$F$120,4,0),""))&amp;""</f>
        <v/>
      </c>
      <c r="M253" s="205" t="str">
        <f>IFERROR(VLOOKUP($I253,'Institution Evaluation'!$A$55:$F$345,6,0),IFERROR(VLOOKUP($I253,'Privacy Analyst Evaluation'!$A$46:$F$120,6,0),""))&amp;""</f>
        <v/>
      </c>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row>
    <row r="254" spans="1:338" x14ac:dyDescent="0.3">
      <c r="A254" s="205" t="str">
        <f>IFERROR(IF($A253+1&gt;'(backend scoring)'!$T$335,"",$A253+1),"")</f>
        <v/>
      </c>
      <c r="B254" s="205" t="str">
        <f>_xlfn.XLOOKUP($A254,'(backend scoring)'!$V$2:$V$333,'(backend scoring)'!$A$2:$A$333,"")</f>
        <v/>
      </c>
      <c r="C254" s="205" t="str">
        <f>IFERROR(VLOOKUP($B254,'Institution Evaluation'!$A$55:$F$345,2,0),IFERROR(VLOOKUP($B254,'Privacy Analyst Evaluation'!$A$46:$F$120,2,0),""))&amp;""</f>
        <v/>
      </c>
      <c r="D254" s="205" t="str">
        <f>IFERROR(VLOOKUP($B254,'Institution Evaluation'!$A$55:$F$345,3,0),IFERROR(VLOOKUP($B254,'Privacy Analyst Evaluation'!$A$46:$F$120,3,0),""))&amp;""</f>
        <v/>
      </c>
      <c r="E254" s="205" t="str">
        <f>IFERROR(VLOOKUP($B254,'Institution Evaluation'!$A$55:$F$345,4,0),IFERROR(VLOOKUP($B254,'Privacy Analyst Evaluation'!$A$46:$F$120,4,0),""))&amp;""</f>
        <v/>
      </c>
      <c r="F254" s="205" t="str">
        <f>IFERROR(VLOOKUP($B254,'Institution Evaluation'!$A$55:$F$345,6,0),IFERROR(VLOOKUP($B254,'Privacy Analyst Evaluation'!$A$46:$F$120,6,0),""))&amp;""</f>
        <v/>
      </c>
      <c r="G254" s="206"/>
      <c r="H254" s="205" t="str">
        <f>IFERROR(IF($H253+1&gt;'(backend scoring)'!$Q$335,"",$H253+1),"")</f>
        <v/>
      </c>
      <c r="I254" s="205" t="str">
        <f>_xlfn.XLOOKUP($H254,'(backend scoring)'!$S$2:$S$333,'(backend scoring)'!$A$2:$A$333,"")</f>
        <v/>
      </c>
      <c r="J254" s="205" t="str">
        <f>IFERROR(VLOOKUP($I254,'Institution Evaluation'!$A$55:$F$345,2,0),IFERROR(VLOOKUP($I254,'Privacy Analyst Evaluation'!$A$46:$F$120,2,0),""))</f>
        <v/>
      </c>
      <c r="K254" s="205" t="str">
        <f>IFERROR(VLOOKUP($I254,'Institution Evaluation'!$A$55:$F$345,3,0),IFERROR(VLOOKUP($I254,'Privacy Analyst Evaluation'!$A$46:$F$120,3,0),""))&amp;""</f>
        <v/>
      </c>
      <c r="L254" s="205" t="str">
        <f>IFERROR(VLOOKUP($I254,'Institution Evaluation'!$A$55:$F$345,4,0),IFERROR(VLOOKUP($I254,'Privacy Analyst Evaluation'!$A$46:$F$120,4,0),""))&amp;""</f>
        <v/>
      </c>
      <c r="M254" s="205" t="str">
        <f>IFERROR(VLOOKUP($I254,'Institution Evaluation'!$A$55:$F$345,6,0),IFERROR(VLOOKUP($I254,'Privacy Analyst Evaluation'!$A$46:$F$120,6,0),""))&amp;""</f>
        <v/>
      </c>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row>
    <row r="255" spans="1:338" x14ac:dyDescent="0.3">
      <c r="A255" s="205" t="str">
        <f>IFERROR(IF($A254+1&gt;'(backend scoring)'!$T$335,"",$A254+1),"")</f>
        <v/>
      </c>
      <c r="B255" s="205" t="str">
        <f>_xlfn.XLOOKUP($A255,'(backend scoring)'!$V$2:$V$333,'(backend scoring)'!$A$2:$A$333,"")</f>
        <v/>
      </c>
      <c r="C255" s="205" t="str">
        <f>IFERROR(VLOOKUP($B255,'Institution Evaluation'!$A$55:$F$345,2,0),IFERROR(VLOOKUP($B255,'Privacy Analyst Evaluation'!$A$46:$F$120,2,0),""))&amp;""</f>
        <v/>
      </c>
      <c r="D255" s="205" t="str">
        <f>IFERROR(VLOOKUP($B255,'Institution Evaluation'!$A$55:$F$345,3,0),IFERROR(VLOOKUP($B255,'Privacy Analyst Evaluation'!$A$46:$F$120,3,0),""))&amp;""</f>
        <v/>
      </c>
      <c r="E255" s="205" t="str">
        <f>IFERROR(VLOOKUP($B255,'Institution Evaluation'!$A$55:$F$345,4,0),IFERROR(VLOOKUP($B255,'Privacy Analyst Evaluation'!$A$46:$F$120,4,0),""))&amp;""</f>
        <v/>
      </c>
      <c r="F255" s="205" t="str">
        <f>IFERROR(VLOOKUP($B255,'Institution Evaluation'!$A$55:$F$345,6,0),IFERROR(VLOOKUP($B255,'Privacy Analyst Evaluation'!$A$46:$F$120,6,0),""))&amp;""</f>
        <v/>
      </c>
      <c r="G255" s="206"/>
      <c r="H255" s="205" t="str">
        <f>IFERROR(IF($H254+1&gt;'(backend scoring)'!$Q$335,"",$H254+1),"")</f>
        <v/>
      </c>
      <c r="I255" s="205" t="str">
        <f>_xlfn.XLOOKUP($H255,'(backend scoring)'!$S$2:$S$333,'(backend scoring)'!$A$2:$A$333,"")</f>
        <v/>
      </c>
      <c r="J255" s="205" t="str">
        <f>IFERROR(VLOOKUP($I255,'Institution Evaluation'!$A$55:$F$345,2,0),IFERROR(VLOOKUP($I255,'Privacy Analyst Evaluation'!$A$46:$F$120,2,0),""))</f>
        <v/>
      </c>
      <c r="K255" s="205" t="str">
        <f>IFERROR(VLOOKUP($I255,'Institution Evaluation'!$A$55:$F$345,3,0),IFERROR(VLOOKUP($I255,'Privacy Analyst Evaluation'!$A$46:$F$120,3,0),""))&amp;""</f>
        <v/>
      </c>
      <c r="L255" s="205" t="str">
        <f>IFERROR(VLOOKUP($I255,'Institution Evaluation'!$A$55:$F$345,4,0),IFERROR(VLOOKUP($I255,'Privacy Analyst Evaluation'!$A$46:$F$120,4,0),""))&amp;""</f>
        <v/>
      </c>
      <c r="M255" s="205" t="str">
        <f>IFERROR(VLOOKUP($I255,'Institution Evaluation'!$A$55:$F$345,6,0),IFERROR(VLOOKUP($I255,'Privacy Analyst Evaluation'!$A$46:$F$120,6,0),""))&amp;""</f>
        <v/>
      </c>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row>
    <row r="256" spans="1:338" x14ac:dyDescent="0.3">
      <c r="A256" s="205" t="str">
        <f>IFERROR(IF($A255+1&gt;'(backend scoring)'!$T$335,"",$A255+1),"")</f>
        <v/>
      </c>
      <c r="B256" s="205" t="str">
        <f>_xlfn.XLOOKUP($A256,'(backend scoring)'!$V$2:$V$333,'(backend scoring)'!$A$2:$A$333,"")</f>
        <v/>
      </c>
      <c r="C256" s="205" t="str">
        <f>IFERROR(VLOOKUP($B256,'Institution Evaluation'!$A$55:$F$345,2,0),IFERROR(VLOOKUP($B256,'Privacy Analyst Evaluation'!$A$46:$F$120,2,0),""))&amp;""</f>
        <v/>
      </c>
      <c r="D256" s="205" t="str">
        <f>IFERROR(VLOOKUP($B256,'Institution Evaluation'!$A$55:$F$345,3,0),IFERROR(VLOOKUP($B256,'Privacy Analyst Evaluation'!$A$46:$F$120,3,0),""))&amp;""</f>
        <v/>
      </c>
      <c r="E256" s="205" t="str">
        <f>IFERROR(VLOOKUP($B256,'Institution Evaluation'!$A$55:$F$345,4,0),IFERROR(VLOOKUP($B256,'Privacy Analyst Evaluation'!$A$46:$F$120,4,0),""))&amp;""</f>
        <v/>
      </c>
      <c r="F256" s="205" t="str">
        <f>IFERROR(VLOOKUP($B256,'Institution Evaluation'!$A$55:$F$345,6,0),IFERROR(VLOOKUP($B256,'Privacy Analyst Evaluation'!$A$46:$F$120,6,0),""))&amp;""</f>
        <v/>
      </c>
      <c r="G256" s="206"/>
      <c r="H256" s="205" t="str">
        <f>IFERROR(IF($H255+1&gt;'(backend scoring)'!$Q$335,"",$H255+1),"")</f>
        <v/>
      </c>
      <c r="I256" s="205" t="str">
        <f>_xlfn.XLOOKUP($H256,'(backend scoring)'!$S$2:$S$333,'(backend scoring)'!$A$2:$A$333,"")</f>
        <v/>
      </c>
      <c r="J256" s="205" t="str">
        <f>IFERROR(VLOOKUP($I256,'Institution Evaluation'!$A$55:$F$345,2,0),IFERROR(VLOOKUP($I256,'Privacy Analyst Evaluation'!$A$46:$F$120,2,0),""))</f>
        <v/>
      </c>
      <c r="K256" s="205" t="str">
        <f>IFERROR(VLOOKUP($I256,'Institution Evaluation'!$A$55:$F$345,3,0),IFERROR(VLOOKUP($I256,'Privacy Analyst Evaluation'!$A$46:$F$120,3,0),""))&amp;""</f>
        <v/>
      </c>
      <c r="L256" s="205" t="str">
        <f>IFERROR(VLOOKUP($I256,'Institution Evaluation'!$A$55:$F$345,4,0),IFERROR(VLOOKUP($I256,'Privacy Analyst Evaluation'!$A$46:$F$120,4,0),""))&amp;""</f>
        <v/>
      </c>
      <c r="M256" s="205" t="str">
        <f>IFERROR(VLOOKUP($I256,'Institution Evaluation'!$A$55:$F$345,6,0),IFERROR(VLOOKUP($I256,'Privacy Analyst Evaluation'!$A$46:$F$120,6,0),""))&amp;""</f>
        <v/>
      </c>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row>
    <row r="257" spans="1:338" x14ac:dyDescent="0.3">
      <c r="A257" s="205" t="str">
        <f>IFERROR(IF($A256+1&gt;'(backend scoring)'!$T$335,"",$A256+1),"")</f>
        <v/>
      </c>
      <c r="B257" s="205" t="str">
        <f>_xlfn.XLOOKUP($A257,'(backend scoring)'!$V$2:$V$333,'(backend scoring)'!$A$2:$A$333,"")</f>
        <v/>
      </c>
      <c r="C257" s="205" t="str">
        <f>IFERROR(VLOOKUP($B257,'Institution Evaluation'!$A$55:$F$345,2,0),IFERROR(VLOOKUP($B257,'Privacy Analyst Evaluation'!$A$46:$F$120,2,0),""))&amp;""</f>
        <v/>
      </c>
      <c r="D257" s="205" t="str">
        <f>IFERROR(VLOOKUP($B257,'Institution Evaluation'!$A$55:$F$345,3,0),IFERROR(VLOOKUP($B257,'Privacy Analyst Evaluation'!$A$46:$F$120,3,0),""))&amp;""</f>
        <v/>
      </c>
      <c r="E257" s="205" t="str">
        <f>IFERROR(VLOOKUP($B257,'Institution Evaluation'!$A$55:$F$345,4,0),IFERROR(VLOOKUP($B257,'Privacy Analyst Evaluation'!$A$46:$F$120,4,0),""))&amp;""</f>
        <v/>
      </c>
      <c r="F257" s="205" t="str">
        <f>IFERROR(VLOOKUP($B257,'Institution Evaluation'!$A$55:$F$345,6,0),IFERROR(VLOOKUP($B257,'Privacy Analyst Evaluation'!$A$46:$F$120,6,0),""))&amp;""</f>
        <v/>
      </c>
      <c r="G257" s="206"/>
      <c r="H257" s="205" t="str">
        <f>IFERROR(IF($H256+1&gt;'(backend scoring)'!$Q$335,"",$H256+1),"")</f>
        <v/>
      </c>
      <c r="I257" s="205" t="str">
        <f>_xlfn.XLOOKUP($H257,'(backend scoring)'!$S$2:$S$333,'(backend scoring)'!$A$2:$A$333,"")</f>
        <v/>
      </c>
      <c r="J257" s="205" t="str">
        <f>IFERROR(VLOOKUP($I257,'Institution Evaluation'!$A$55:$F$345,2,0),IFERROR(VLOOKUP($I257,'Privacy Analyst Evaluation'!$A$46:$F$120,2,0),""))</f>
        <v/>
      </c>
      <c r="K257" s="205" t="str">
        <f>IFERROR(VLOOKUP($I257,'Institution Evaluation'!$A$55:$F$345,3,0),IFERROR(VLOOKUP($I257,'Privacy Analyst Evaluation'!$A$46:$F$120,3,0),""))&amp;""</f>
        <v/>
      </c>
      <c r="L257" s="205" t="str">
        <f>IFERROR(VLOOKUP($I257,'Institution Evaluation'!$A$55:$F$345,4,0),IFERROR(VLOOKUP($I257,'Privacy Analyst Evaluation'!$A$46:$F$120,4,0),""))&amp;""</f>
        <v/>
      </c>
      <c r="M257" s="205" t="str">
        <f>IFERROR(VLOOKUP($I257,'Institution Evaluation'!$A$55:$F$345,6,0),IFERROR(VLOOKUP($I257,'Privacy Analyst Evaluation'!$A$46:$F$120,6,0),""))&amp;""</f>
        <v/>
      </c>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row>
    <row r="258" spans="1:338" x14ac:dyDescent="0.3">
      <c r="A258" s="205" t="str">
        <f>IFERROR(IF($A257+1&gt;'(backend scoring)'!$T$335,"",$A257+1),"")</f>
        <v/>
      </c>
      <c r="B258" s="205" t="str">
        <f>_xlfn.XLOOKUP($A258,'(backend scoring)'!$V$2:$V$333,'(backend scoring)'!$A$2:$A$333,"")</f>
        <v/>
      </c>
      <c r="C258" s="205" t="str">
        <f>IFERROR(VLOOKUP($B258,'Institution Evaluation'!$A$55:$F$345,2,0),IFERROR(VLOOKUP($B258,'Privacy Analyst Evaluation'!$A$46:$F$120,2,0),""))&amp;""</f>
        <v/>
      </c>
      <c r="D258" s="205" t="str">
        <f>IFERROR(VLOOKUP($B258,'Institution Evaluation'!$A$55:$F$345,3,0),IFERROR(VLOOKUP($B258,'Privacy Analyst Evaluation'!$A$46:$F$120,3,0),""))&amp;""</f>
        <v/>
      </c>
      <c r="E258" s="205" t="str">
        <f>IFERROR(VLOOKUP($B258,'Institution Evaluation'!$A$55:$F$345,4,0),IFERROR(VLOOKUP($B258,'Privacy Analyst Evaluation'!$A$46:$F$120,4,0),""))&amp;""</f>
        <v/>
      </c>
      <c r="F258" s="205" t="str">
        <f>IFERROR(VLOOKUP($B258,'Institution Evaluation'!$A$55:$F$345,6,0),IFERROR(VLOOKUP($B258,'Privacy Analyst Evaluation'!$A$46:$F$120,6,0),""))&amp;""</f>
        <v/>
      </c>
      <c r="G258" s="206"/>
      <c r="H258" s="205" t="str">
        <f>IFERROR(IF($H257+1&gt;'(backend scoring)'!$Q$335,"",$H257+1),"")</f>
        <v/>
      </c>
      <c r="I258" s="205" t="str">
        <f>_xlfn.XLOOKUP($H258,'(backend scoring)'!$S$2:$S$333,'(backend scoring)'!$A$2:$A$333,"")</f>
        <v/>
      </c>
      <c r="J258" s="205" t="str">
        <f>IFERROR(VLOOKUP($I258,'Institution Evaluation'!$A$55:$F$345,2,0),IFERROR(VLOOKUP($I258,'Privacy Analyst Evaluation'!$A$46:$F$120,2,0),""))</f>
        <v/>
      </c>
      <c r="K258" s="205" t="str">
        <f>IFERROR(VLOOKUP($I258,'Institution Evaluation'!$A$55:$F$345,3,0),IFERROR(VLOOKUP($I258,'Privacy Analyst Evaluation'!$A$46:$F$120,3,0),""))&amp;""</f>
        <v/>
      </c>
      <c r="L258" s="205" t="str">
        <f>IFERROR(VLOOKUP($I258,'Institution Evaluation'!$A$55:$F$345,4,0),IFERROR(VLOOKUP($I258,'Privacy Analyst Evaluation'!$A$46:$F$120,4,0),""))&amp;""</f>
        <v/>
      </c>
      <c r="M258" s="205" t="str">
        <f>IFERROR(VLOOKUP($I258,'Institution Evaluation'!$A$55:$F$345,6,0),IFERROR(VLOOKUP($I258,'Privacy Analyst Evaluation'!$A$46:$F$120,6,0),""))&amp;""</f>
        <v/>
      </c>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row>
    <row r="259" spans="1:338" x14ac:dyDescent="0.3">
      <c r="A259" s="205" t="str">
        <f>IFERROR(IF($A258+1&gt;'(backend scoring)'!$T$335,"",$A258+1),"")</f>
        <v/>
      </c>
      <c r="B259" s="205" t="str">
        <f>_xlfn.XLOOKUP($A259,'(backend scoring)'!$V$2:$V$333,'(backend scoring)'!$A$2:$A$333,"")</f>
        <v/>
      </c>
      <c r="C259" s="205" t="str">
        <f>IFERROR(VLOOKUP($B259,'Institution Evaluation'!$A$55:$F$345,2,0),IFERROR(VLOOKUP($B259,'Privacy Analyst Evaluation'!$A$46:$F$120,2,0),""))&amp;""</f>
        <v/>
      </c>
      <c r="D259" s="205" t="str">
        <f>IFERROR(VLOOKUP($B259,'Institution Evaluation'!$A$55:$F$345,3,0),IFERROR(VLOOKUP($B259,'Privacy Analyst Evaluation'!$A$46:$F$120,3,0),""))&amp;""</f>
        <v/>
      </c>
      <c r="E259" s="205" t="str">
        <f>IFERROR(VLOOKUP($B259,'Institution Evaluation'!$A$55:$F$345,4,0),IFERROR(VLOOKUP($B259,'Privacy Analyst Evaluation'!$A$46:$F$120,4,0),""))&amp;""</f>
        <v/>
      </c>
      <c r="F259" s="205" t="str">
        <f>IFERROR(VLOOKUP($B259,'Institution Evaluation'!$A$55:$F$345,6,0),IFERROR(VLOOKUP($B259,'Privacy Analyst Evaluation'!$A$46:$F$120,6,0),""))&amp;""</f>
        <v/>
      </c>
      <c r="G259" s="206"/>
      <c r="H259" s="205" t="str">
        <f>IFERROR(IF($H258+1&gt;'(backend scoring)'!$Q$335,"",$H258+1),"")</f>
        <v/>
      </c>
      <c r="I259" s="205" t="str">
        <f>_xlfn.XLOOKUP($H259,'(backend scoring)'!$S$2:$S$333,'(backend scoring)'!$A$2:$A$333,"")</f>
        <v/>
      </c>
      <c r="J259" s="205" t="str">
        <f>IFERROR(VLOOKUP($I259,'Institution Evaluation'!$A$55:$F$345,2,0),IFERROR(VLOOKUP($I259,'Privacy Analyst Evaluation'!$A$46:$F$120,2,0),""))</f>
        <v/>
      </c>
      <c r="K259" s="205" t="str">
        <f>IFERROR(VLOOKUP($I259,'Institution Evaluation'!$A$55:$F$345,3,0),IFERROR(VLOOKUP($I259,'Privacy Analyst Evaluation'!$A$46:$F$120,3,0),""))&amp;""</f>
        <v/>
      </c>
      <c r="L259" s="205" t="str">
        <f>IFERROR(VLOOKUP($I259,'Institution Evaluation'!$A$55:$F$345,4,0),IFERROR(VLOOKUP($I259,'Privacy Analyst Evaluation'!$A$46:$F$120,4,0),""))&amp;""</f>
        <v/>
      </c>
      <c r="M259" s="205" t="str">
        <f>IFERROR(VLOOKUP($I259,'Institution Evaluation'!$A$55:$F$345,6,0),IFERROR(VLOOKUP($I259,'Privacy Analyst Evaluation'!$A$46:$F$120,6,0),""))&amp;""</f>
        <v/>
      </c>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row>
    <row r="260" spans="1:338" x14ac:dyDescent="0.3">
      <c r="A260" s="205" t="str">
        <f>IFERROR(IF($A259+1&gt;'(backend scoring)'!$T$335,"",$A259+1),"")</f>
        <v/>
      </c>
      <c r="B260" s="205" t="str">
        <f>_xlfn.XLOOKUP($A260,'(backend scoring)'!$V$2:$V$333,'(backend scoring)'!$A$2:$A$333,"")</f>
        <v/>
      </c>
      <c r="C260" s="205" t="str">
        <f>IFERROR(VLOOKUP($B260,'Institution Evaluation'!$A$55:$F$345,2,0),IFERROR(VLOOKUP($B260,'Privacy Analyst Evaluation'!$A$46:$F$120,2,0),""))&amp;""</f>
        <v/>
      </c>
      <c r="D260" s="205" t="str">
        <f>IFERROR(VLOOKUP($B260,'Institution Evaluation'!$A$55:$F$345,3,0),IFERROR(VLOOKUP($B260,'Privacy Analyst Evaluation'!$A$46:$F$120,3,0),""))&amp;""</f>
        <v/>
      </c>
      <c r="E260" s="205" t="str">
        <f>IFERROR(VLOOKUP($B260,'Institution Evaluation'!$A$55:$F$345,4,0),IFERROR(VLOOKUP($B260,'Privacy Analyst Evaluation'!$A$46:$F$120,4,0),""))&amp;""</f>
        <v/>
      </c>
      <c r="F260" s="205" t="str">
        <f>IFERROR(VLOOKUP($B260,'Institution Evaluation'!$A$55:$F$345,6,0),IFERROR(VLOOKUP($B260,'Privacy Analyst Evaluation'!$A$46:$F$120,6,0),""))&amp;""</f>
        <v/>
      </c>
      <c r="G260" s="206"/>
      <c r="H260" s="205" t="str">
        <f>IFERROR(IF($H259+1&gt;'(backend scoring)'!$Q$335,"",$H259+1),"")</f>
        <v/>
      </c>
      <c r="I260" s="205" t="str">
        <f>_xlfn.XLOOKUP($H260,'(backend scoring)'!$S$2:$S$333,'(backend scoring)'!$A$2:$A$333,"")</f>
        <v/>
      </c>
      <c r="J260" s="205" t="str">
        <f>IFERROR(VLOOKUP($I260,'Institution Evaluation'!$A$55:$F$345,2,0),IFERROR(VLOOKUP($I260,'Privacy Analyst Evaluation'!$A$46:$F$120,2,0),""))</f>
        <v/>
      </c>
      <c r="K260" s="205" t="str">
        <f>IFERROR(VLOOKUP($I260,'Institution Evaluation'!$A$55:$F$345,3,0),IFERROR(VLOOKUP($I260,'Privacy Analyst Evaluation'!$A$46:$F$120,3,0),""))&amp;""</f>
        <v/>
      </c>
      <c r="L260" s="205" t="str">
        <f>IFERROR(VLOOKUP($I260,'Institution Evaluation'!$A$55:$F$345,4,0),IFERROR(VLOOKUP($I260,'Privacy Analyst Evaluation'!$A$46:$F$120,4,0),""))&amp;""</f>
        <v/>
      </c>
      <c r="M260" s="205" t="str">
        <f>IFERROR(VLOOKUP($I260,'Institution Evaluation'!$A$55:$F$345,6,0),IFERROR(VLOOKUP($I260,'Privacy Analyst Evaluation'!$A$46:$F$120,6,0),""))&amp;""</f>
        <v/>
      </c>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row>
    <row r="261" spans="1:338" x14ac:dyDescent="0.3">
      <c r="A261" s="205" t="str">
        <f>IFERROR(IF($A260+1&gt;'(backend scoring)'!$T$335,"",$A260+1),"")</f>
        <v/>
      </c>
      <c r="B261" s="205" t="str">
        <f>_xlfn.XLOOKUP($A261,'(backend scoring)'!$V$2:$V$333,'(backend scoring)'!$A$2:$A$333,"")</f>
        <v/>
      </c>
      <c r="C261" s="205" t="str">
        <f>IFERROR(VLOOKUP($B261,'Institution Evaluation'!$A$55:$F$345,2,0),IFERROR(VLOOKUP($B261,'Privacy Analyst Evaluation'!$A$46:$F$120,2,0),""))&amp;""</f>
        <v/>
      </c>
      <c r="D261" s="205" t="str">
        <f>IFERROR(VLOOKUP($B261,'Institution Evaluation'!$A$55:$F$345,3,0),IFERROR(VLOOKUP($B261,'Privacy Analyst Evaluation'!$A$46:$F$120,3,0),""))&amp;""</f>
        <v/>
      </c>
      <c r="E261" s="205" t="str">
        <f>IFERROR(VLOOKUP($B261,'Institution Evaluation'!$A$55:$F$345,4,0),IFERROR(VLOOKUP($B261,'Privacy Analyst Evaluation'!$A$46:$F$120,4,0),""))&amp;""</f>
        <v/>
      </c>
      <c r="F261" s="205" t="str">
        <f>IFERROR(VLOOKUP($B261,'Institution Evaluation'!$A$55:$F$345,6,0),IFERROR(VLOOKUP($B261,'Privacy Analyst Evaluation'!$A$46:$F$120,6,0),""))&amp;""</f>
        <v/>
      </c>
      <c r="G261" s="206"/>
      <c r="H261" s="205" t="str">
        <f>IFERROR(IF($H260+1&gt;'(backend scoring)'!$Q$335,"",$H260+1),"")</f>
        <v/>
      </c>
      <c r="I261" s="205" t="str">
        <f>_xlfn.XLOOKUP($H261,'(backend scoring)'!$S$2:$S$333,'(backend scoring)'!$A$2:$A$333,"")</f>
        <v/>
      </c>
      <c r="J261" s="205" t="str">
        <f>IFERROR(VLOOKUP($I261,'Institution Evaluation'!$A$55:$F$345,2,0),IFERROR(VLOOKUP($I261,'Privacy Analyst Evaluation'!$A$46:$F$120,2,0),""))</f>
        <v/>
      </c>
      <c r="K261" s="205" t="str">
        <f>IFERROR(VLOOKUP($I261,'Institution Evaluation'!$A$55:$F$345,3,0),IFERROR(VLOOKUP($I261,'Privacy Analyst Evaluation'!$A$46:$F$120,3,0),""))&amp;""</f>
        <v/>
      </c>
      <c r="L261" s="205" t="str">
        <f>IFERROR(VLOOKUP($I261,'Institution Evaluation'!$A$55:$F$345,4,0),IFERROR(VLOOKUP($I261,'Privacy Analyst Evaluation'!$A$46:$F$120,4,0),""))&amp;""</f>
        <v/>
      </c>
      <c r="M261" s="205" t="str">
        <f>IFERROR(VLOOKUP($I261,'Institution Evaluation'!$A$55:$F$345,6,0),IFERROR(VLOOKUP($I261,'Privacy Analyst Evaluation'!$A$46:$F$120,6,0),""))&amp;""</f>
        <v/>
      </c>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row>
    <row r="262" spans="1:338" x14ac:dyDescent="0.3">
      <c r="A262" s="205" t="str">
        <f>IFERROR(IF($A261+1&gt;'(backend scoring)'!$T$335,"",$A261+1),"")</f>
        <v/>
      </c>
      <c r="B262" s="205" t="str">
        <f>_xlfn.XLOOKUP($A262,'(backend scoring)'!$V$2:$V$333,'(backend scoring)'!$A$2:$A$333,"")</f>
        <v/>
      </c>
      <c r="C262" s="205" t="str">
        <f>IFERROR(VLOOKUP($B262,'Institution Evaluation'!$A$55:$F$345,2,0),IFERROR(VLOOKUP($B262,'Privacy Analyst Evaluation'!$A$46:$F$120,2,0),""))&amp;""</f>
        <v/>
      </c>
      <c r="D262" s="205" t="str">
        <f>IFERROR(VLOOKUP($B262,'Institution Evaluation'!$A$55:$F$345,3,0),IFERROR(VLOOKUP($B262,'Privacy Analyst Evaluation'!$A$46:$F$120,3,0),""))&amp;""</f>
        <v/>
      </c>
      <c r="E262" s="205" t="str">
        <f>IFERROR(VLOOKUP($B262,'Institution Evaluation'!$A$55:$F$345,4,0),IFERROR(VLOOKUP($B262,'Privacy Analyst Evaluation'!$A$46:$F$120,4,0),""))&amp;""</f>
        <v/>
      </c>
      <c r="F262" s="205" t="str">
        <f>IFERROR(VLOOKUP($B262,'Institution Evaluation'!$A$55:$F$345,6,0),IFERROR(VLOOKUP($B262,'Privacy Analyst Evaluation'!$A$46:$F$120,6,0),""))&amp;""</f>
        <v/>
      </c>
      <c r="G262" s="206"/>
      <c r="H262" s="205" t="str">
        <f>IFERROR(IF($H261+1&gt;'(backend scoring)'!$Q$335,"",$H261+1),"")</f>
        <v/>
      </c>
      <c r="I262" s="205" t="str">
        <f>_xlfn.XLOOKUP($H262,'(backend scoring)'!$S$2:$S$333,'(backend scoring)'!$A$2:$A$333,"")</f>
        <v/>
      </c>
      <c r="J262" s="205" t="str">
        <f>IFERROR(VLOOKUP($I262,'Institution Evaluation'!$A$55:$F$345,2,0),IFERROR(VLOOKUP($I262,'Privacy Analyst Evaluation'!$A$46:$F$120,2,0),""))</f>
        <v/>
      </c>
      <c r="K262" s="205" t="str">
        <f>IFERROR(VLOOKUP($I262,'Institution Evaluation'!$A$55:$F$345,3,0),IFERROR(VLOOKUP($I262,'Privacy Analyst Evaluation'!$A$46:$F$120,3,0),""))&amp;""</f>
        <v/>
      </c>
      <c r="L262" s="205" t="str">
        <f>IFERROR(VLOOKUP($I262,'Institution Evaluation'!$A$55:$F$345,4,0),IFERROR(VLOOKUP($I262,'Privacy Analyst Evaluation'!$A$46:$F$120,4,0),""))&amp;""</f>
        <v/>
      </c>
      <c r="M262" s="205" t="str">
        <f>IFERROR(VLOOKUP($I262,'Institution Evaluation'!$A$55:$F$345,6,0),IFERROR(VLOOKUP($I262,'Privacy Analyst Evaluation'!$A$46:$F$120,6,0),""))&amp;""</f>
        <v/>
      </c>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row>
    <row r="263" spans="1:338" x14ac:dyDescent="0.3">
      <c r="A263" s="205" t="str">
        <f>IFERROR(IF($A262+1&gt;'(backend scoring)'!$T$335,"",$A262+1),"")</f>
        <v/>
      </c>
      <c r="B263" s="205" t="str">
        <f>_xlfn.XLOOKUP($A263,'(backend scoring)'!$V$2:$V$333,'(backend scoring)'!$A$2:$A$333,"")</f>
        <v/>
      </c>
      <c r="C263" s="205" t="str">
        <f>IFERROR(VLOOKUP($B263,'Institution Evaluation'!$A$55:$F$345,2,0),IFERROR(VLOOKUP($B263,'Privacy Analyst Evaluation'!$A$46:$F$120,2,0),""))&amp;""</f>
        <v/>
      </c>
      <c r="D263" s="205" t="str">
        <f>IFERROR(VLOOKUP($B263,'Institution Evaluation'!$A$55:$F$345,3,0),IFERROR(VLOOKUP($B263,'Privacy Analyst Evaluation'!$A$46:$F$120,3,0),""))&amp;""</f>
        <v/>
      </c>
      <c r="E263" s="205" t="str">
        <f>IFERROR(VLOOKUP($B263,'Institution Evaluation'!$A$55:$F$345,4,0),IFERROR(VLOOKUP($B263,'Privacy Analyst Evaluation'!$A$46:$F$120,4,0),""))&amp;""</f>
        <v/>
      </c>
      <c r="F263" s="205" t="str">
        <f>IFERROR(VLOOKUP($B263,'Institution Evaluation'!$A$55:$F$345,6,0),IFERROR(VLOOKUP($B263,'Privacy Analyst Evaluation'!$A$46:$F$120,6,0),""))&amp;""</f>
        <v/>
      </c>
      <c r="G263" s="206"/>
      <c r="H263" s="205" t="str">
        <f>IFERROR(IF($H262+1&gt;'(backend scoring)'!$Q$335,"",$H262+1),"")</f>
        <v/>
      </c>
      <c r="I263" s="205" t="str">
        <f>_xlfn.XLOOKUP($H263,'(backend scoring)'!$S$2:$S$333,'(backend scoring)'!$A$2:$A$333,"")</f>
        <v/>
      </c>
      <c r="J263" s="205" t="str">
        <f>IFERROR(VLOOKUP($I263,'Institution Evaluation'!$A$55:$F$345,2,0),IFERROR(VLOOKUP($I263,'Privacy Analyst Evaluation'!$A$46:$F$120,2,0),""))</f>
        <v/>
      </c>
      <c r="K263" s="205" t="str">
        <f>IFERROR(VLOOKUP($I263,'Institution Evaluation'!$A$55:$F$345,3,0),IFERROR(VLOOKUP($I263,'Privacy Analyst Evaluation'!$A$46:$F$120,3,0),""))&amp;""</f>
        <v/>
      </c>
      <c r="L263" s="205" t="str">
        <f>IFERROR(VLOOKUP($I263,'Institution Evaluation'!$A$55:$F$345,4,0),IFERROR(VLOOKUP($I263,'Privacy Analyst Evaluation'!$A$46:$F$120,4,0),""))&amp;""</f>
        <v/>
      </c>
      <c r="M263" s="205" t="str">
        <f>IFERROR(VLOOKUP($I263,'Institution Evaluation'!$A$55:$F$345,6,0),IFERROR(VLOOKUP($I263,'Privacy Analyst Evaluation'!$A$46:$F$120,6,0),""))&amp;""</f>
        <v/>
      </c>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row>
    <row r="264" spans="1:338" x14ac:dyDescent="0.3">
      <c r="A264" s="205" t="str">
        <f>IFERROR(IF($A263+1&gt;'(backend scoring)'!$T$335,"",$A263+1),"")</f>
        <v/>
      </c>
      <c r="B264" s="205" t="str">
        <f>_xlfn.XLOOKUP($A264,'(backend scoring)'!$V$2:$V$333,'(backend scoring)'!$A$2:$A$333,"")</f>
        <v/>
      </c>
      <c r="C264" s="205" t="str">
        <f>IFERROR(VLOOKUP($B264,'Institution Evaluation'!$A$55:$F$345,2,0),IFERROR(VLOOKUP($B264,'Privacy Analyst Evaluation'!$A$46:$F$120,2,0),""))&amp;""</f>
        <v/>
      </c>
      <c r="D264" s="205" t="str">
        <f>IFERROR(VLOOKUP($B264,'Institution Evaluation'!$A$55:$F$345,3,0),IFERROR(VLOOKUP($B264,'Privacy Analyst Evaluation'!$A$46:$F$120,3,0),""))&amp;""</f>
        <v/>
      </c>
      <c r="E264" s="205" t="str">
        <f>IFERROR(VLOOKUP($B264,'Institution Evaluation'!$A$55:$F$345,4,0),IFERROR(VLOOKUP($B264,'Privacy Analyst Evaluation'!$A$46:$F$120,4,0),""))&amp;""</f>
        <v/>
      </c>
      <c r="F264" s="205" t="str">
        <f>IFERROR(VLOOKUP($B264,'Institution Evaluation'!$A$55:$F$345,6,0),IFERROR(VLOOKUP($B264,'Privacy Analyst Evaluation'!$A$46:$F$120,6,0),""))&amp;""</f>
        <v/>
      </c>
      <c r="G264" s="206"/>
      <c r="H264" s="205" t="str">
        <f>IFERROR(IF($H263+1&gt;'(backend scoring)'!$Q$335,"",$H263+1),"")</f>
        <v/>
      </c>
      <c r="I264" s="205" t="str">
        <f>_xlfn.XLOOKUP($H264,'(backend scoring)'!$S$2:$S$333,'(backend scoring)'!$A$2:$A$333,"")</f>
        <v/>
      </c>
      <c r="J264" s="205" t="str">
        <f>IFERROR(VLOOKUP($I264,'Institution Evaluation'!$A$55:$F$345,2,0),IFERROR(VLOOKUP($I264,'Privacy Analyst Evaluation'!$A$46:$F$120,2,0),""))</f>
        <v/>
      </c>
      <c r="K264" s="205" t="str">
        <f>IFERROR(VLOOKUP($I264,'Institution Evaluation'!$A$55:$F$345,3,0),IFERROR(VLOOKUP($I264,'Privacy Analyst Evaluation'!$A$46:$F$120,3,0),""))&amp;""</f>
        <v/>
      </c>
      <c r="L264" s="205" t="str">
        <f>IFERROR(VLOOKUP($I264,'Institution Evaluation'!$A$55:$F$345,4,0),IFERROR(VLOOKUP($I264,'Privacy Analyst Evaluation'!$A$46:$F$120,4,0),""))&amp;""</f>
        <v/>
      </c>
      <c r="M264" s="205" t="str">
        <f>IFERROR(VLOOKUP($I264,'Institution Evaluation'!$A$55:$F$345,6,0),IFERROR(VLOOKUP($I264,'Privacy Analyst Evaluation'!$A$46:$F$120,6,0),""))&amp;""</f>
        <v/>
      </c>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row>
    <row r="265" spans="1:338" x14ac:dyDescent="0.3">
      <c r="A265" s="205" t="str">
        <f>IFERROR(IF($A264+1&gt;'(backend scoring)'!$T$335,"",$A264+1),"")</f>
        <v/>
      </c>
      <c r="B265" s="205" t="str">
        <f>_xlfn.XLOOKUP($A265,'(backend scoring)'!$V$2:$V$333,'(backend scoring)'!$A$2:$A$333,"")</f>
        <v/>
      </c>
      <c r="C265" s="205" t="str">
        <f>IFERROR(VLOOKUP($B265,'Institution Evaluation'!$A$55:$F$345,2,0),IFERROR(VLOOKUP($B265,'Privacy Analyst Evaluation'!$A$46:$F$120,2,0),""))&amp;""</f>
        <v/>
      </c>
      <c r="D265" s="205" t="str">
        <f>IFERROR(VLOOKUP($B265,'Institution Evaluation'!$A$55:$F$345,3,0),IFERROR(VLOOKUP($B265,'Privacy Analyst Evaluation'!$A$46:$F$120,3,0),""))&amp;""</f>
        <v/>
      </c>
      <c r="E265" s="205" t="str">
        <f>IFERROR(VLOOKUP($B265,'Institution Evaluation'!$A$55:$F$345,4,0),IFERROR(VLOOKUP($B265,'Privacy Analyst Evaluation'!$A$46:$F$120,4,0),""))&amp;""</f>
        <v/>
      </c>
      <c r="F265" s="205" t="str">
        <f>IFERROR(VLOOKUP($B265,'Institution Evaluation'!$A$55:$F$345,6,0),IFERROR(VLOOKUP($B265,'Privacy Analyst Evaluation'!$A$46:$F$120,6,0),""))&amp;""</f>
        <v/>
      </c>
      <c r="G265" s="206"/>
      <c r="H265" s="205" t="str">
        <f>IFERROR(IF($H264+1&gt;'(backend scoring)'!$Q$335,"",$H264+1),"")</f>
        <v/>
      </c>
      <c r="I265" s="205" t="str">
        <f>_xlfn.XLOOKUP($H265,'(backend scoring)'!$S$2:$S$333,'(backend scoring)'!$A$2:$A$333,"")</f>
        <v/>
      </c>
      <c r="J265" s="205" t="str">
        <f>IFERROR(VLOOKUP($I265,'Institution Evaluation'!$A$55:$F$345,2,0),IFERROR(VLOOKUP($I265,'Privacy Analyst Evaluation'!$A$46:$F$120,2,0),""))</f>
        <v/>
      </c>
      <c r="K265" s="205" t="str">
        <f>IFERROR(VLOOKUP($I265,'Institution Evaluation'!$A$55:$F$345,3,0),IFERROR(VLOOKUP($I265,'Privacy Analyst Evaluation'!$A$46:$F$120,3,0),""))&amp;""</f>
        <v/>
      </c>
      <c r="L265" s="205" t="str">
        <f>IFERROR(VLOOKUP($I265,'Institution Evaluation'!$A$55:$F$345,4,0),IFERROR(VLOOKUP($I265,'Privacy Analyst Evaluation'!$A$46:$F$120,4,0),""))&amp;""</f>
        <v/>
      </c>
      <c r="M265" s="205" t="str">
        <f>IFERROR(VLOOKUP($I265,'Institution Evaluation'!$A$55:$F$345,6,0),IFERROR(VLOOKUP($I265,'Privacy Analyst Evaluation'!$A$46:$F$120,6,0),""))&amp;""</f>
        <v/>
      </c>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row>
    <row r="266" spans="1:338" x14ac:dyDescent="0.3">
      <c r="A266" s="205" t="str">
        <f>IFERROR(IF($A265+1&gt;'(backend scoring)'!$T$335,"",$A265+1),"")</f>
        <v/>
      </c>
      <c r="B266" s="205" t="str">
        <f>_xlfn.XLOOKUP($A266,'(backend scoring)'!$V$2:$V$333,'(backend scoring)'!$A$2:$A$333,"")</f>
        <v/>
      </c>
      <c r="C266" s="205" t="str">
        <f>IFERROR(VLOOKUP($B266,'Institution Evaluation'!$A$55:$F$345,2,0),IFERROR(VLOOKUP($B266,'Privacy Analyst Evaluation'!$A$46:$F$120,2,0),""))&amp;""</f>
        <v/>
      </c>
      <c r="D266" s="205" t="str">
        <f>IFERROR(VLOOKUP($B266,'Institution Evaluation'!$A$55:$F$345,3,0),IFERROR(VLOOKUP($B266,'Privacy Analyst Evaluation'!$A$46:$F$120,3,0),""))&amp;""</f>
        <v/>
      </c>
      <c r="E266" s="205" t="str">
        <f>IFERROR(VLOOKUP($B266,'Institution Evaluation'!$A$55:$F$345,4,0),IFERROR(VLOOKUP($B266,'Privacy Analyst Evaluation'!$A$46:$F$120,4,0),""))&amp;""</f>
        <v/>
      </c>
      <c r="F266" s="205" t="str">
        <f>IFERROR(VLOOKUP($B266,'Institution Evaluation'!$A$55:$F$345,6,0),IFERROR(VLOOKUP($B266,'Privacy Analyst Evaluation'!$A$46:$F$120,6,0),""))&amp;""</f>
        <v/>
      </c>
      <c r="G266" s="206"/>
      <c r="H266" s="205" t="str">
        <f>IFERROR(IF($H265+1&gt;'(backend scoring)'!$Q$335,"",$H265+1),"")</f>
        <v/>
      </c>
      <c r="I266" s="205" t="str">
        <f>_xlfn.XLOOKUP($H266,'(backend scoring)'!$S$2:$S$333,'(backend scoring)'!$A$2:$A$333,"")</f>
        <v/>
      </c>
      <c r="J266" s="205" t="str">
        <f>IFERROR(VLOOKUP($I266,'Institution Evaluation'!$A$55:$F$345,2,0),IFERROR(VLOOKUP($I266,'Privacy Analyst Evaluation'!$A$46:$F$120,2,0),""))</f>
        <v/>
      </c>
      <c r="K266" s="205" t="str">
        <f>IFERROR(VLOOKUP($I266,'Institution Evaluation'!$A$55:$F$345,3,0),IFERROR(VLOOKUP($I266,'Privacy Analyst Evaluation'!$A$46:$F$120,3,0),""))&amp;""</f>
        <v/>
      </c>
      <c r="L266" s="205" t="str">
        <f>IFERROR(VLOOKUP($I266,'Institution Evaluation'!$A$55:$F$345,4,0),IFERROR(VLOOKUP($I266,'Privacy Analyst Evaluation'!$A$46:$F$120,4,0),""))&amp;""</f>
        <v/>
      </c>
      <c r="M266" s="205" t="str">
        <f>IFERROR(VLOOKUP($I266,'Institution Evaluation'!$A$55:$F$345,6,0),IFERROR(VLOOKUP($I266,'Privacy Analyst Evaluation'!$A$46:$F$120,6,0),""))&amp;""</f>
        <v/>
      </c>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row>
    <row r="267" spans="1:338" x14ac:dyDescent="0.3">
      <c r="A267" s="205" t="str">
        <f>IFERROR(IF($A266+1&gt;'(backend scoring)'!$T$335,"",$A266+1),"")</f>
        <v/>
      </c>
      <c r="B267" s="205" t="str">
        <f>_xlfn.XLOOKUP($A267,'(backend scoring)'!$V$2:$V$333,'(backend scoring)'!$A$2:$A$333,"")</f>
        <v/>
      </c>
      <c r="C267" s="205" t="str">
        <f>IFERROR(VLOOKUP($B267,'Institution Evaluation'!$A$55:$F$345,2,0),IFERROR(VLOOKUP($B267,'Privacy Analyst Evaluation'!$A$46:$F$120,2,0),""))&amp;""</f>
        <v/>
      </c>
      <c r="D267" s="205" t="str">
        <f>IFERROR(VLOOKUP($B267,'Institution Evaluation'!$A$55:$F$345,3,0),IFERROR(VLOOKUP($B267,'Privacy Analyst Evaluation'!$A$46:$F$120,3,0),""))&amp;""</f>
        <v/>
      </c>
      <c r="E267" s="205" t="str">
        <f>IFERROR(VLOOKUP($B267,'Institution Evaluation'!$A$55:$F$345,4,0),IFERROR(VLOOKUP($B267,'Privacy Analyst Evaluation'!$A$46:$F$120,4,0),""))&amp;""</f>
        <v/>
      </c>
      <c r="F267" s="205" t="str">
        <f>IFERROR(VLOOKUP($B267,'Institution Evaluation'!$A$55:$F$345,6,0),IFERROR(VLOOKUP($B267,'Privacy Analyst Evaluation'!$A$46:$F$120,6,0),""))&amp;""</f>
        <v/>
      </c>
      <c r="G267" s="206"/>
      <c r="H267" s="205" t="str">
        <f>IFERROR(IF($H266+1&gt;'(backend scoring)'!$Q$335,"",$H266+1),"")</f>
        <v/>
      </c>
      <c r="I267" s="205" t="str">
        <f>_xlfn.XLOOKUP($H267,'(backend scoring)'!$S$2:$S$333,'(backend scoring)'!$A$2:$A$333,"")</f>
        <v/>
      </c>
      <c r="J267" s="205" t="str">
        <f>IFERROR(VLOOKUP($I267,'Institution Evaluation'!$A$55:$F$345,2,0),IFERROR(VLOOKUP($I267,'Privacy Analyst Evaluation'!$A$46:$F$120,2,0),""))</f>
        <v/>
      </c>
      <c r="K267" s="205" t="str">
        <f>IFERROR(VLOOKUP($I267,'Institution Evaluation'!$A$55:$F$345,3,0),IFERROR(VLOOKUP($I267,'Privacy Analyst Evaluation'!$A$46:$F$120,3,0),""))&amp;""</f>
        <v/>
      </c>
      <c r="L267" s="205" t="str">
        <f>IFERROR(VLOOKUP($I267,'Institution Evaluation'!$A$55:$F$345,4,0),IFERROR(VLOOKUP($I267,'Privacy Analyst Evaluation'!$A$46:$F$120,4,0),""))&amp;""</f>
        <v/>
      </c>
      <c r="M267" s="205" t="str">
        <f>IFERROR(VLOOKUP($I267,'Institution Evaluation'!$A$55:$F$345,6,0),IFERROR(VLOOKUP($I267,'Privacy Analyst Evaluation'!$A$46:$F$120,6,0),""))&amp;""</f>
        <v/>
      </c>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row>
    <row r="268" spans="1:338" x14ac:dyDescent="0.3">
      <c r="A268" s="205" t="str">
        <f>IFERROR(IF($A267+1&gt;'(backend scoring)'!$T$335,"",$A267+1),"")</f>
        <v/>
      </c>
      <c r="B268" s="205" t="str">
        <f>_xlfn.XLOOKUP($A268,'(backend scoring)'!$V$2:$V$333,'(backend scoring)'!$A$2:$A$333,"")</f>
        <v/>
      </c>
      <c r="C268" s="205" t="str">
        <f>IFERROR(VLOOKUP($B268,'Institution Evaluation'!$A$55:$F$345,2,0),IFERROR(VLOOKUP($B268,'Privacy Analyst Evaluation'!$A$46:$F$120,2,0),""))&amp;""</f>
        <v/>
      </c>
      <c r="D268" s="205" t="str">
        <f>IFERROR(VLOOKUP($B268,'Institution Evaluation'!$A$55:$F$345,3,0),IFERROR(VLOOKUP($B268,'Privacy Analyst Evaluation'!$A$46:$F$120,3,0),""))&amp;""</f>
        <v/>
      </c>
      <c r="E268" s="205" t="str">
        <f>IFERROR(VLOOKUP($B268,'Institution Evaluation'!$A$55:$F$345,4,0),IFERROR(VLOOKUP($B268,'Privacy Analyst Evaluation'!$A$46:$F$120,4,0),""))&amp;""</f>
        <v/>
      </c>
      <c r="F268" s="205" t="str">
        <f>IFERROR(VLOOKUP($B268,'Institution Evaluation'!$A$55:$F$345,6,0),IFERROR(VLOOKUP($B268,'Privacy Analyst Evaluation'!$A$46:$F$120,6,0),""))&amp;""</f>
        <v/>
      </c>
      <c r="G268" s="206"/>
      <c r="H268" s="205" t="str">
        <f>IFERROR(IF($H267+1&gt;'(backend scoring)'!$Q$335,"",$H267+1),"")</f>
        <v/>
      </c>
      <c r="I268" s="205" t="str">
        <f>_xlfn.XLOOKUP($H268,'(backend scoring)'!$S$2:$S$333,'(backend scoring)'!$A$2:$A$333,"")</f>
        <v/>
      </c>
      <c r="J268" s="205" t="str">
        <f>IFERROR(VLOOKUP($I268,'Institution Evaluation'!$A$55:$F$345,2,0),IFERROR(VLOOKUP($I268,'Privacy Analyst Evaluation'!$A$46:$F$120,2,0),""))</f>
        <v/>
      </c>
      <c r="K268" s="205" t="str">
        <f>IFERROR(VLOOKUP($I268,'Institution Evaluation'!$A$55:$F$345,3,0),IFERROR(VLOOKUP($I268,'Privacy Analyst Evaluation'!$A$46:$F$120,3,0),""))&amp;""</f>
        <v/>
      </c>
      <c r="L268" s="205" t="str">
        <f>IFERROR(VLOOKUP($I268,'Institution Evaluation'!$A$55:$F$345,4,0),IFERROR(VLOOKUP($I268,'Privacy Analyst Evaluation'!$A$46:$F$120,4,0),""))&amp;""</f>
        <v/>
      </c>
      <c r="M268" s="205" t="str">
        <f>IFERROR(VLOOKUP($I268,'Institution Evaluation'!$A$55:$F$345,6,0),IFERROR(VLOOKUP($I268,'Privacy Analyst Evaluation'!$A$46:$F$120,6,0),""))&amp;""</f>
        <v/>
      </c>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row>
    <row r="269" spans="1:338" x14ac:dyDescent="0.3">
      <c r="A269" s="205" t="str">
        <f>IFERROR(IF($A268+1&gt;'(backend scoring)'!$T$335,"",$A268+1),"")</f>
        <v/>
      </c>
      <c r="B269" s="205" t="str">
        <f>_xlfn.XLOOKUP($A269,'(backend scoring)'!$V$2:$V$333,'(backend scoring)'!$A$2:$A$333,"")</f>
        <v/>
      </c>
      <c r="C269" s="205" t="str">
        <f>IFERROR(VLOOKUP($B269,'Institution Evaluation'!$A$55:$F$345,2,0),IFERROR(VLOOKUP($B269,'Privacy Analyst Evaluation'!$A$46:$F$120,2,0),""))&amp;""</f>
        <v/>
      </c>
      <c r="D269" s="205" t="str">
        <f>IFERROR(VLOOKUP($B269,'Institution Evaluation'!$A$55:$F$345,3,0),IFERROR(VLOOKUP($B269,'Privacy Analyst Evaluation'!$A$46:$F$120,3,0),""))&amp;""</f>
        <v/>
      </c>
      <c r="E269" s="205" t="str">
        <f>IFERROR(VLOOKUP($B269,'Institution Evaluation'!$A$55:$F$345,4,0),IFERROR(VLOOKUP($B269,'Privacy Analyst Evaluation'!$A$46:$F$120,4,0),""))&amp;""</f>
        <v/>
      </c>
      <c r="F269" s="205" t="str">
        <f>IFERROR(VLOOKUP($B269,'Institution Evaluation'!$A$55:$F$345,6,0),IFERROR(VLOOKUP($B269,'Privacy Analyst Evaluation'!$A$46:$F$120,6,0),""))&amp;""</f>
        <v/>
      </c>
      <c r="G269" s="206"/>
      <c r="H269" s="205" t="str">
        <f>IFERROR(IF($H268+1&gt;'(backend scoring)'!$Q$335,"",$H268+1),"")</f>
        <v/>
      </c>
      <c r="I269" s="205" t="str">
        <f>_xlfn.XLOOKUP($H269,'(backend scoring)'!$S$2:$S$333,'(backend scoring)'!$A$2:$A$333,"")</f>
        <v/>
      </c>
      <c r="J269" s="205" t="str">
        <f>IFERROR(VLOOKUP($I269,'Institution Evaluation'!$A$55:$F$345,2,0),IFERROR(VLOOKUP($I269,'Privacy Analyst Evaluation'!$A$46:$F$120,2,0),""))</f>
        <v/>
      </c>
      <c r="K269" s="205" t="str">
        <f>IFERROR(VLOOKUP($I269,'Institution Evaluation'!$A$55:$F$345,3,0),IFERROR(VLOOKUP($I269,'Privacy Analyst Evaluation'!$A$46:$F$120,3,0),""))&amp;""</f>
        <v/>
      </c>
      <c r="L269" s="205" t="str">
        <f>IFERROR(VLOOKUP($I269,'Institution Evaluation'!$A$55:$F$345,4,0),IFERROR(VLOOKUP($I269,'Privacy Analyst Evaluation'!$A$46:$F$120,4,0),""))&amp;""</f>
        <v/>
      </c>
      <c r="M269" s="205" t="str">
        <f>IFERROR(VLOOKUP($I269,'Institution Evaluation'!$A$55:$F$345,6,0),IFERROR(VLOOKUP($I269,'Privacy Analyst Evaluation'!$A$46:$F$120,6,0),""))&amp;""</f>
        <v/>
      </c>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row>
    <row r="270" spans="1:338" x14ac:dyDescent="0.3">
      <c r="A270" s="205" t="str">
        <f>IFERROR(IF($A269+1&gt;'(backend scoring)'!$T$335,"",$A269+1),"")</f>
        <v/>
      </c>
      <c r="B270" s="205" t="str">
        <f>_xlfn.XLOOKUP($A270,'(backend scoring)'!$V$2:$V$333,'(backend scoring)'!$A$2:$A$333,"")</f>
        <v/>
      </c>
      <c r="C270" s="205" t="str">
        <f>IFERROR(VLOOKUP($B270,'Institution Evaluation'!$A$55:$F$345,2,0),IFERROR(VLOOKUP($B270,'Privacy Analyst Evaluation'!$A$46:$F$120,2,0),""))&amp;""</f>
        <v/>
      </c>
      <c r="D270" s="205" t="str">
        <f>IFERROR(VLOOKUP($B270,'Institution Evaluation'!$A$55:$F$345,3,0),IFERROR(VLOOKUP($B270,'Privacy Analyst Evaluation'!$A$46:$F$120,3,0),""))&amp;""</f>
        <v/>
      </c>
      <c r="E270" s="205" t="str">
        <f>IFERROR(VLOOKUP($B270,'Institution Evaluation'!$A$55:$F$345,4,0),IFERROR(VLOOKUP($B270,'Privacy Analyst Evaluation'!$A$46:$F$120,4,0),""))&amp;""</f>
        <v/>
      </c>
      <c r="F270" s="205" t="str">
        <f>IFERROR(VLOOKUP($B270,'Institution Evaluation'!$A$55:$F$345,6,0),IFERROR(VLOOKUP($B270,'Privacy Analyst Evaluation'!$A$46:$F$120,6,0),""))&amp;""</f>
        <v/>
      </c>
      <c r="G270" s="206"/>
      <c r="H270" s="205" t="str">
        <f>IFERROR(IF($H269+1&gt;'(backend scoring)'!$Q$335,"",$H269+1),"")</f>
        <v/>
      </c>
      <c r="I270" s="205" t="str">
        <f>_xlfn.XLOOKUP($H270,'(backend scoring)'!$S$2:$S$333,'(backend scoring)'!$A$2:$A$333,"")</f>
        <v/>
      </c>
      <c r="J270" s="205" t="str">
        <f>IFERROR(VLOOKUP($I270,'Institution Evaluation'!$A$55:$F$345,2,0),IFERROR(VLOOKUP($I270,'Privacy Analyst Evaluation'!$A$46:$F$120,2,0),""))</f>
        <v/>
      </c>
      <c r="K270" s="205" t="str">
        <f>IFERROR(VLOOKUP($I270,'Institution Evaluation'!$A$55:$F$345,3,0),IFERROR(VLOOKUP($I270,'Privacy Analyst Evaluation'!$A$46:$F$120,3,0),""))&amp;""</f>
        <v/>
      </c>
      <c r="L270" s="205" t="str">
        <f>IFERROR(VLOOKUP($I270,'Institution Evaluation'!$A$55:$F$345,4,0),IFERROR(VLOOKUP($I270,'Privacy Analyst Evaluation'!$A$46:$F$120,4,0),""))&amp;""</f>
        <v/>
      </c>
      <c r="M270" s="205" t="str">
        <f>IFERROR(VLOOKUP($I270,'Institution Evaluation'!$A$55:$F$345,6,0),IFERROR(VLOOKUP($I270,'Privacy Analyst Evaluation'!$A$46:$F$120,6,0),""))&amp;""</f>
        <v/>
      </c>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row>
    <row r="271" spans="1:338" x14ac:dyDescent="0.3">
      <c r="A271" s="205" t="str">
        <f>IFERROR(IF($A270+1&gt;'(backend scoring)'!$T$335,"",$A270+1),"")</f>
        <v/>
      </c>
      <c r="B271" s="205" t="str">
        <f>_xlfn.XLOOKUP($A271,'(backend scoring)'!$V$2:$V$333,'(backend scoring)'!$A$2:$A$333,"")</f>
        <v/>
      </c>
      <c r="C271" s="205" t="str">
        <f>IFERROR(VLOOKUP($B271,'Institution Evaluation'!$A$55:$F$345,2,0),IFERROR(VLOOKUP($B271,'Privacy Analyst Evaluation'!$A$46:$F$120,2,0),""))&amp;""</f>
        <v/>
      </c>
      <c r="D271" s="205" t="str">
        <f>IFERROR(VLOOKUP($B271,'Institution Evaluation'!$A$55:$F$345,3,0),IFERROR(VLOOKUP($B271,'Privacy Analyst Evaluation'!$A$46:$F$120,3,0),""))&amp;""</f>
        <v/>
      </c>
      <c r="E271" s="205" t="str">
        <f>IFERROR(VLOOKUP($B271,'Institution Evaluation'!$A$55:$F$345,4,0),IFERROR(VLOOKUP($B271,'Privacy Analyst Evaluation'!$A$46:$F$120,4,0),""))&amp;""</f>
        <v/>
      </c>
      <c r="F271" s="205" t="str">
        <f>IFERROR(VLOOKUP($B271,'Institution Evaluation'!$A$55:$F$345,6,0),IFERROR(VLOOKUP($B271,'Privacy Analyst Evaluation'!$A$46:$F$120,6,0),""))&amp;""</f>
        <v/>
      </c>
      <c r="G271" s="206"/>
      <c r="H271" s="205" t="str">
        <f>IFERROR(IF($H270+1&gt;'(backend scoring)'!$Q$335,"",$H270+1),"")</f>
        <v/>
      </c>
      <c r="I271" s="205" t="str">
        <f>_xlfn.XLOOKUP($H271,'(backend scoring)'!$S$2:$S$333,'(backend scoring)'!$A$2:$A$333,"")</f>
        <v/>
      </c>
      <c r="J271" s="205" t="str">
        <f>IFERROR(VLOOKUP($I271,'Institution Evaluation'!$A$55:$F$345,2,0),IFERROR(VLOOKUP($I271,'Privacy Analyst Evaluation'!$A$46:$F$120,2,0),""))</f>
        <v/>
      </c>
      <c r="K271" s="205" t="str">
        <f>IFERROR(VLOOKUP($I271,'Institution Evaluation'!$A$55:$F$345,3,0),IFERROR(VLOOKUP($I271,'Privacy Analyst Evaluation'!$A$46:$F$120,3,0),""))&amp;""</f>
        <v/>
      </c>
      <c r="L271" s="205" t="str">
        <f>IFERROR(VLOOKUP($I271,'Institution Evaluation'!$A$55:$F$345,4,0),IFERROR(VLOOKUP($I271,'Privacy Analyst Evaluation'!$A$46:$F$120,4,0),""))&amp;""</f>
        <v/>
      </c>
      <c r="M271" s="205" t="str">
        <f>IFERROR(VLOOKUP($I271,'Institution Evaluation'!$A$55:$F$345,6,0),IFERROR(VLOOKUP($I271,'Privacy Analyst Evaluation'!$A$46:$F$120,6,0),""))&amp;""</f>
        <v/>
      </c>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row>
    <row r="272" spans="1:338" x14ac:dyDescent="0.3">
      <c r="A272" s="205" t="str">
        <f>IFERROR(IF($A271+1&gt;'(backend scoring)'!$T$335,"",$A271+1),"")</f>
        <v/>
      </c>
      <c r="B272" s="205" t="str">
        <f>_xlfn.XLOOKUP($A272,'(backend scoring)'!$V$2:$V$333,'(backend scoring)'!$A$2:$A$333,"")</f>
        <v/>
      </c>
      <c r="C272" s="205" t="str">
        <f>IFERROR(VLOOKUP($B272,'Institution Evaluation'!$A$55:$F$345,2,0),IFERROR(VLOOKUP($B272,'Privacy Analyst Evaluation'!$A$46:$F$120,2,0),""))&amp;""</f>
        <v/>
      </c>
      <c r="D272" s="205" t="str">
        <f>IFERROR(VLOOKUP($B272,'Institution Evaluation'!$A$55:$F$345,3,0),IFERROR(VLOOKUP($B272,'Privacy Analyst Evaluation'!$A$46:$F$120,3,0),""))&amp;""</f>
        <v/>
      </c>
      <c r="E272" s="205" t="str">
        <f>IFERROR(VLOOKUP($B272,'Institution Evaluation'!$A$55:$F$345,4,0),IFERROR(VLOOKUP($B272,'Privacy Analyst Evaluation'!$A$46:$F$120,4,0),""))&amp;""</f>
        <v/>
      </c>
      <c r="F272" s="205" t="str">
        <f>IFERROR(VLOOKUP($B272,'Institution Evaluation'!$A$55:$F$345,6,0),IFERROR(VLOOKUP($B272,'Privacy Analyst Evaluation'!$A$46:$F$120,6,0),""))&amp;""</f>
        <v/>
      </c>
      <c r="G272" s="206"/>
      <c r="H272" s="205" t="str">
        <f>IFERROR(IF($H271+1&gt;'(backend scoring)'!$Q$335,"",$H271+1),"")</f>
        <v/>
      </c>
      <c r="I272" s="205" t="str">
        <f>_xlfn.XLOOKUP($H272,'(backend scoring)'!$S$2:$S$333,'(backend scoring)'!$A$2:$A$333,"")</f>
        <v/>
      </c>
      <c r="J272" s="205" t="str">
        <f>IFERROR(VLOOKUP($I272,'Institution Evaluation'!$A$55:$F$345,2,0),IFERROR(VLOOKUP($I272,'Privacy Analyst Evaluation'!$A$46:$F$120,2,0),""))</f>
        <v/>
      </c>
      <c r="K272" s="205" t="str">
        <f>IFERROR(VLOOKUP($I272,'Institution Evaluation'!$A$55:$F$345,3,0),IFERROR(VLOOKUP($I272,'Privacy Analyst Evaluation'!$A$46:$F$120,3,0),""))&amp;""</f>
        <v/>
      </c>
      <c r="L272" s="205" t="str">
        <f>IFERROR(VLOOKUP($I272,'Institution Evaluation'!$A$55:$F$345,4,0),IFERROR(VLOOKUP($I272,'Privacy Analyst Evaluation'!$A$46:$F$120,4,0),""))&amp;""</f>
        <v/>
      </c>
      <c r="M272" s="205" t="str">
        <f>IFERROR(VLOOKUP($I272,'Institution Evaluation'!$A$55:$F$345,6,0),IFERROR(VLOOKUP($I272,'Privacy Analyst Evaluation'!$A$46:$F$120,6,0),""))&amp;""</f>
        <v/>
      </c>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row>
    <row r="273" spans="1:338" x14ac:dyDescent="0.3">
      <c r="A273" s="205" t="str">
        <f>IFERROR(IF($A272+1&gt;'(backend scoring)'!$T$335,"",$A272+1),"")</f>
        <v/>
      </c>
      <c r="B273" s="205" t="str">
        <f>_xlfn.XLOOKUP($A273,'(backend scoring)'!$V$2:$V$333,'(backend scoring)'!$A$2:$A$333,"")</f>
        <v/>
      </c>
      <c r="C273" s="205" t="str">
        <f>IFERROR(VLOOKUP($B273,'Institution Evaluation'!$A$55:$F$345,2,0),IFERROR(VLOOKUP($B273,'Privacy Analyst Evaluation'!$A$46:$F$120,2,0),""))&amp;""</f>
        <v/>
      </c>
      <c r="D273" s="205" t="str">
        <f>IFERROR(VLOOKUP($B273,'Institution Evaluation'!$A$55:$F$345,3,0),IFERROR(VLOOKUP($B273,'Privacy Analyst Evaluation'!$A$46:$F$120,3,0),""))&amp;""</f>
        <v/>
      </c>
      <c r="E273" s="205" t="str">
        <f>IFERROR(VLOOKUP($B273,'Institution Evaluation'!$A$55:$F$345,4,0),IFERROR(VLOOKUP($B273,'Privacy Analyst Evaluation'!$A$46:$F$120,4,0),""))&amp;""</f>
        <v/>
      </c>
      <c r="F273" s="205" t="str">
        <f>IFERROR(VLOOKUP($B273,'Institution Evaluation'!$A$55:$F$345,6,0),IFERROR(VLOOKUP($B273,'Privacy Analyst Evaluation'!$A$46:$F$120,6,0),""))&amp;""</f>
        <v/>
      </c>
      <c r="G273" s="206"/>
      <c r="H273" s="205" t="str">
        <f>IFERROR(IF($H272+1&gt;'(backend scoring)'!$Q$335,"",$H272+1),"")</f>
        <v/>
      </c>
      <c r="I273" s="205" t="str">
        <f>_xlfn.XLOOKUP($H273,'(backend scoring)'!$S$2:$S$333,'(backend scoring)'!$A$2:$A$333,"")</f>
        <v/>
      </c>
      <c r="J273" s="205" t="str">
        <f>IFERROR(VLOOKUP($I273,'Institution Evaluation'!$A$55:$F$345,2,0),IFERROR(VLOOKUP($I273,'Privacy Analyst Evaluation'!$A$46:$F$120,2,0),""))</f>
        <v/>
      </c>
      <c r="K273" s="205" t="str">
        <f>IFERROR(VLOOKUP($I273,'Institution Evaluation'!$A$55:$F$345,3,0),IFERROR(VLOOKUP($I273,'Privacy Analyst Evaluation'!$A$46:$F$120,3,0),""))&amp;""</f>
        <v/>
      </c>
      <c r="L273" s="205" t="str">
        <f>IFERROR(VLOOKUP($I273,'Institution Evaluation'!$A$55:$F$345,4,0),IFERROR(VLOOKUP($I273,'Privacy Analyst Evaluation'!$A$46:$F$120,4,0),""))&amp;""</f>
        <v/>
      </c>
      <c r="M273" s="205" t="str">
        <f>IFERROR(VLOOKUP($I273,'Institution Evaluation'!$A$55:$F$345,6,0),IFERROR(VLOOKUP($I273,'Privacy Analyst Evaluation'!$A$46:$F$120,6,0),""))&amp;""</f>
        <v/>
      </c>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row>
    <row r="274" spans="1:338" x14ac:dyDescent="0.3">
      <c r="A274" s="205" t="str">
        <f>IFERROR(IF($A273+1&gt;'(backend scoring)'!$T$335,"",$A273+1),"")</f>
        <v/>
      </c>
      <c r="B274" s="205" t="str">
        <f>_xlfn.XLOOKUP($A274,'(backend scoring)'!$V$2:$V$333,'(backend scoring)'!$A$2:$A$333,"")</f>
        <v/>
      </c>
      <c r="C274" s="205" t="str">
        <f>IFERROR(VLOOKUP($B274,'Institution Evaluation'!$A$55:$F$345,2,0),IFERROR(VLOOKUP($B274,'Privacy Analyst Evaluation'!$A$46:$F$120,2,0),""))&amp;""</f>
        <v/>
      </c>
      <c r="D274" s="205" t="str">
        <f>IFERROR(VLOOKUP($B274,'Institution Evaluation'!$A$55:$F$345,3,0),IFERROR(VLOOKUP($B274,'Privacy Analyst Evaluation'!$A$46:$F$120,3,0),""))&amp;""</f>
        <v/>
      </c>
      <c r="E274" s="205" t="str">
        <f>IFERROR(VLOOKUP($B274,'Institution Evaluation'!$A$55:$F$345,4,0),IFERROR(VLOOKUP($B274,'Privacy Analyst Evaluation'!$A$46:$F$120,4,0),""))&amp;""</f>
        <v/>
      </c>
      <c r="F274" s="205" t="str">
        <f>IFERROR(VLOOKUP($B274,'Institution Evaluation'!$A$55:$F$345,6,0),IFERROR(VLOOKUP($B274,'Privacy Analyst Evaluation'!$A$46:$F$120,6,0),""))&amp;""</f>
        <v/>
      </c>
      <c r="G274" s="206"/>
      <c r="H274" s="205" t="str">
        <f>IFERROR(IF($H273+1&gt;'(backend scoring)'!$Q$335,"",$H273+1),"")</f>
        <v/>
      </c>
      <c r="I274" s="205" t="str">
        <f>_xlfn.XLOOKUP($H274,'(backend scoring)'!$S$2:$S$333,'(backend scoring)'!$A$2:$A$333,"")</f>
        <v/>
      </c>
      <c r="J274" s="205" t="str">
        <f>IFERROR(VLOOKUP($I274,'Institution Evaluation'!$A$55:$F$345,2,0),IFERROR(VLOOKUP($I274,'Privacy Analyst Evaluation'!$A$46:$F$120,2,0),""))</f>
        <v/>
      </c>
      <c r="K274" s="205" t="str">
        <f>IFERROR(VLOOKUP($I274,'Institution Evaluation'!$A$55:$F$345,3,0),IFERROR(VLOOKUP($I274,'Privacy Analyst Evaluation'!$A$46:$F$120,3,0),""))&amp;""</f>
        <v/>
      </c>
      <c r="L274" s="205" t="str">
        <f>IFERROR(VLOOKUP($I274,'Institution Evaluation'!$A$55:$F$345,4,0),IFERROR(VLOOKUP($I274,'Privacy Analyst Evaluation'!$A$46:$F$120,4,0),""))&amp;""</f>
        <v/>
      </c>
      <c r="M274" s="205" t="str">
        <f>IFERROR(VLOOKUP($I274,'Institution Evaluation'!$A$55:$F$345,6,0),IFERROR(VLOOKUP($I274,'Privacy Analyst Evaluation'!$A$46:$F$120,6,0),""))&amp;""</f>
        <v/>
      </c>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row>
    <row r="275" spans="1:338" x14ac:dyDescent="0.3">
      <c r="A275" s="205" t="str">
        <f>IFERROR(IF($A274+1&gt;'(backend scoring)'!$T$335,"",$A274+1),"")</f>
        <v/>
      </c>
      <c r="B275" s="205" t="str">
        <f>_xlfn.XLOOKUP($A275,'(backend scoring)'!$V$2:$V$333,'(backend scoring)'!$A$2:$A$333,"")</f>
        <v/>
      </c>
      <c r="C275" s="205" t="str">
        <f>IFERROR(VLOOKUP($B275,'Institution Evaluation'!$A$55:$F$345,2,0),IFERROR(VLOOKUP($B275,'Privacy Analyst Evaluation'!$A$46:$F$120,2,0),""))&amp;""</f>
        <v/>
      </c>
      <c r="D275" s="205" t="str">
        <f>IFERROR(VLOOKUP($B275,'Institution Evaluation'!$A$55:$F$345,3,0),IFERROR(VLOOKUP($B275,'Privacy Analyst Evaluation'!$A$46:$F$120,3,0),""))&amp;""</f>
        <v/>
      </c>
      <c r="E275" s="205" t="str">
        <f>IFERROR(VLOOKUP($B275,'Institution Evaluation'!$A$55:$F$345,4,0),IFERROR(VLOOKUP($B275,'Privacy Analyst Evaluation'!$A$46:$F$120,4,0),""))&amp;""</f>
        <v/>
      </c>
      <c r="F275" s="205" t="str">
        <f>IFERROR(VLOOKUP($B275,'Institution Evaluation'!$A$55:$F$345,6,0),IFERROR(VLOOKUP($B275,'Privacy Analyst Evaluation'!$A$46:$F$120,6,0),""))&amp;""</f>
        <v/>
      </c>
      <c r="G275" s="206"/>
      <c r="H275" s="205" t="str">
        <f>IFERROR(IF($H274+1&gt;'(backend scoring)'!$Q$335,"",$H274+1),"")</f>
        <v/>
      </c>
      <c r="I275" s="205" t="str">
        <f>_xlfn.XLOOKUP($H275,'(backend scoring)'!$S$2:$S$333,'(backend scoring)'!$A$2:$A$333,"")</f>
        <v/>
      </c>
      <c r="J275" s="205" t="str">
        <f>IFERROR(VLOOKUP($I275,'Institution Evaluation'!$A$55:$F$345,2,0),IFERROR(VLOOKUP($I275,'Privacy Analyst Evaluation'!$A$46:$F$120,2,0),""))</f>
        <v/>
      </c>
      <c r="K275" s="205" t="str">
        <f>IFERROR(VLOOKUP($I275,'Institution Evaluation'!$A$55:$F$345,3,0),IFERROR(VLOOKUP($I275,'Privacy Analyst Evaluation'!$A$46:$F$120,3,0),""))&amp;""</f>
        <v/>
      </c>
      <c r="L275" s="205" t="str">
        <f>IFERROR(VLOOKUP($I275,'Institution Evaluation'!$A$55:$F$345,4,0),IFERROR(VLOOKUP($I275,'Privacy Analyst Evaluation'!$A$46:$F$120,4,0),""))&amp;""</f>
        <v/>
      </c>
      <c r="M275" s="205" t="str">
        <f>IFERROR(VLOOKUP($I275,'Institution Evaluation'!$A$55:$F$345,6,0),IFERROR(VLOOKUP($I275,'Privacy Analyst Evaluation'!$A$46:$F$120,6,0),""))&amp;""</f>
        <v/>
      </c>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row>
    <row r="276" spans="1:338" x14ac:dyDescent="0.3">
      <c r="A276" s="205" t="str">
        <f>IFERROR(IF($A275+1&gt;'(backend scoring)'!$T$335,"",$A275+1),"")</f>
        <v/>
      </c>
      <c r="B276" s="205" t="str">
        <f>_xlfn.XLOOKUP($A276,'(backend scoring)'!$V$2:$V$333,'(backend scoring)'!$A$2:$A$333,"")</f>
        <v/>
      </c>
      <c r="C276" s="205" t="str">
        <f>IFERROR(VLOOKUP($B276,'Institution Evaluation'!$A$55:$F$345,2,0),IFERROR(VLOOKUP($B276,'Privacy Analyst Evaluation'!$A$46:$F$120,2,0),""))&amp;""</f>
        <v/>
      </c>
      <c r="D276" s="205" t="str">
        <f>IFERROR(VLOOKUP($B276,'Institution Evaluation'!$A$55:$F$345,3,0),IFERROR(VLOOKUP($B276,'Privacy Analyst Evaluation'!$A$46:$F$120,3,0),""))&amp;""</f>
        <v/>
      </c>
      <c r="E276" s="205" t="str">
        <f>IFERROR(VLOOKUP($B276,'Institution Evaluation'!$A$55:$F$345,4,0),IFERROR(VLOOKUP($B276,'Privacy Analyst Evaluation'!$A$46:$F$120,4,0),""))&amp;""</f>
        <v/>
      </c>
      <c r="F276" s="205" t="str">
        <f>IFERROR(VLOOKUP($B276,'Institution Evaluation'!$A$55:$F$345,6,0),IFERROR(VLOOKUP($B276,'Privacy Analyst Evaluation'!$A$46:$F$120,6,0),""))&amp;""</f>
        <v/>
      </c>
      <c r="G276" s="206"/>
      <c r="H276" s="205" t="str">
        <f>IFERROR(IF($H275+1&gt;'(backend scoring)'!$Q$335,"",$H275+1),"")</f>
        <v/>
      </c>
      <c r="I276" s="205" t="str">
        <f>_xlfn.XLOOKUP($H276,'(backend scoring)'!$S$2:$S$333,'(backend scoring)'!$A$2:$A$333,"")</f>
        <v/>
      </c>
      <c r="J276" s="205" t="str">
        <f>IFERROR(VLOOKUP($I276,'Institution Evaluation'!$A$55:$F$345,2,0),IFERROR(VLOOKUP($I276,'Privacy Analyst Evaluation'!$A$46:$F$120,2,0),""))</f>
        <v/>
      </c>
      <c r="K276" s="205" t="str">
        <f>IFERROR(VLOOKUP($I276,'Institution Evaluation'!$A$55:$F$345,3,0),IFERROR(VLOOKUP($I276,'Privacy Analyst Evaluation'!$A$46:$F$120,3,0),""))&amp;""</f>
        <v/>
      </c>
      <c r="L276" s="205" t="str">
        <f>IFERROR(VLOOKUP($I276,'Institution Evaluation'!$A$55:$F$345,4,0),IFERROR(VLOOKUP($I276,'Privacy Analyst Evaluation'!$A$46:$F$120,4,0),""))&amp;""</f>
        <v/>
      </c>
      <c r="M276" s="205" t="str">
        <f>IFERROR(VLOOKUP($I276,'Institution Evaluation'!$A$55:$F$345,6,0),IFERROR(VLOOKUP($I276,'Privacy Analyst Evaluation'!$A$46:$F$120,6,0),""))&amp;""</f>
        <v/>
      </c>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row>
    <row r="277" spans="1:338" x14ac:dyDescent="0.3">
      <c r="A277" s="205" t="str">
        <f>IFERROR(IF($A276+1&gt;'(backend scoring)'!$T$335,"",$A276+1),"")</f>
        <v/>
      </c>
      <c r="B277" s="205" t="str">
        <f>_xlfn.XLOOKUP($A277,'(backend scoring)'!$V$2:$V$333,'(backend scoring)'!$A$2:$A$333,"")</f>
        <v/>
      </c>
      <c r="C277" s="205" t="str">
        <f>IFERROR(VLOOKUP($B277,'Institution Evaluation'!$A$55:$F$345,2,0),IFERROR(VLOOKUP($B277,'Privacy Analyst Evaluation'!$A$46:$F$120,2,0),""))&amp;""</f>
        <v/>
      </c>
      <c r="D277" s="205" t="str">
        <f>IFERROR(VLOOKUP($B277,'Institution Evaluation'!$A$55:$F$345,3,0),IFERROR(VLOOKUP($B277,'Privacy Analyst Evaluation'!$A$46:$F$120,3,0),""))&amp;""</f>
        <v/>
      </c>
      <c r="E277" s="205" t="str">
        <f>IFERROR(VLOOKUP($B277,'Institution Evaluation'!$A$55:$F$345,4,0),IFERROR(VLOOKUP($B277,'Privacy Analyst Evaluation'!$A$46:$F$120,4,0),""))&amp;""</f>
        <v/>
      </c>
      <c r="F277" s="205" t="str">
        <f>IFERROR(VLOOKUP($B277,'Institution Evaluation'!$A$55:$F$345,6,0),IFERROR(VLOOKUP($B277,'Privacy Analyst Evaluation'!$A$46:$F$120,6,0),""))&amp;""</f>
        <v/>
      </c>
      <c r="G277" s="206"/>
      <c r="H277" s="205" t="str">
        <f>IFERROR(IF($H276+1&gt;'(backend scoring)'!$Q$335,"",$H276+1),"")</f>
        <v/>
      </c>
      <c r="I277" s="205" t="str">
        <f>_xlfn.XLOOKUP($H277,'(backend scoring)'!$S$2:$S$333,'(backend scoring)'!$A$2:$A$333,"")</f>
        <v/>
      </c>
      <c r="J277" s="205" t="str">
        <f>IFERROR(VLOOKUP($I277,'Institution Evaluation'!$A$55:$F$345,2,0),IFERROR(VLOOKUP($I277,'Privacy Analyst Evaluation'!$A$46:$F$120,2,0),""))</f>
        <v/>
      </c>
      <c r="K277" s="205" t="str">
        <f>IFERROR(VLOOKUP($I277,'Institution Evaluation'!$A$55:$F$345,3,0),IFERROR(VLOOKUP($I277,'Privacy Analyst Evaluation'!$A$46:$F$120,3,0),""))&amp;""</f>
        <v/>
      </c>
      <c r="L277" s="205" t="str">
        <f>IFERROR(VLOOKUP($I277,'Institution Evaluation'!$A$55:$F$345,4,0),IFERROR(VLOOKUP($I277,'Privacy Analyst Evaluation'!$A$46:$F$120,4,0),""))&amp;""</f>
        <v/>
      </c>
      <c r="M277" s="205" t="str">
        <f>IFERROR(VLOOKUP($I277,'Institution Evaluation'!$A$55:$F$345,6,0),IFERROR(VLOOKUP($I277,'Privacy Analyst Evaluation'!$A$46:$F$120,6,0),""))&amp;""</f>
        <v/>
      </c>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row>
    <row r="278" spans="1:338" x14ac:dyDescent="0.3">
      <c r="A278" s="205" t="str">
        <f>IFERROR(IF($A277+1&gt;'(backend scoring)'!$T$335,"",$A277+1),"")</f>
        <v/>
      </c>
      <c r="B278" s="205" t="str">
        <f>_xlfn.XLOOKUP($A278,'(backend scoring)'!$V$2:$V$333,'(backend scoring)'!$A$2:$A$333,"")</f>
        <v/>
      </c>
      <c r="C278" s="205" t="str">
        <f>IFERROR(VLOOKUP($B278,'Institution Evaluation'!$A$55:$F$345,2,0),IFERROR(VLOOKUP($B278,'Privacy Analyst Evaluation'!$A$46:$F$120,2,0),""))&amp;""</f>
        <v/>
      </c>
      <c r="D278" s="205" t="str">
        <f>IFERROR(VLOOKUP($B278,'Institution Evaluation'!$A$55:$F$345,3,0),IFERROR(VLOOKUP($B278,'Privacy Analyst Evaluation'!$A$46:$F$120,3,0),""))&amp;""</f>
        <v/>
      </c>
      <c r="E278" s="205" t="str">
        <f>IFERROR(VLOOKUP($B278,'Institution Evaluation'!$A$55:$F$345,4,0),IFERROR(VLOOKUP($B278,'Privacy Analyst Evaluation'!$A$46:$F$120,4,0),""))&amp;""</f>
        <v/>
      </c>
      <c r="F278" s="205" t="str">
        <f>IFERROR(VLOOKUP($B278,'Institution Evaluation'!$A$55:$F$345,6,0),IFERROR(VLOOKUP($B278,'Privacy Analyst Evaluation'!$A$46:$F$120,6,0),""))&amp;""</f>
        <v/>
      </c>
      <c r="G278" s="206"/>
      <c r="H278" s="205" t="str">
        <f>IFERROR(IF($H277+1&gt;'(backend scoring)'!$Q$335,"",$H277+1),"")</f>
        <v/>
      </c>
      <c r="I278" s="205" t="str">
        <f>_xlfn.XLOOKUP($H278,'(backend scoring)'!$S$2:$S$333,'(backend scoring)'!$A$2:$A$333,"")</f>
        <v/>
      </c>
      <c r="J278" s="205" t="str">
        <f>IFERROR(VLOOKUP($I278,'Institution Evaluation'!$A$55:$F$345,2,0),IFERROR(VLOOKUP($I278,'Privacy Analyst Evaluation'!$A$46:$F$120,2,0),""))</f>
        <v/>
      </c>
      <c r="K278" s="205" t="str">
        <f>IFERROR(VLOOKUP($I278,'Institution Evaluation'!$A$55:$F$345,3,0),IFERROR(VLOOKUP($I278,'Privacy Analyst Evaluation'!$A$46:$F$120,3,0),""))&amp;""</f>
        <v/>
      </c>
      <c r="L278" s="205" t="str">
        <f>IFERROR(VLOOKUP($I278,'Institution Evaluation'!$A$55:$F$345,4,0),IFERROR(VLOOKUP($I278,'Privacy Analyst Evaluation'!$A$46:$F$120,4,0),""))&amp;""</f>
        <v/>
      </c>
      <c r="M278" s="205" t="str">
        <f>IFERROR(VLOOKUP($I278,'Institution Evaluation'!$A$55:$F$345,6,0),IFERROR(VLOOKUP($I278,'Privacy Analyst Evaluation'!$A$46:$F$120,6,0),""))&amp;""</f>
        <v/>
      </c>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row>
    <row r="279" spans="1:338" x14ac:dyDescent="0.3">
      <c r="A279" s="205" t="str">
        <f>IFERROR(IF($A278+1&gt;'(backend scoring)'!$T$335,"",$A278+1),"")</f>
        <v/>
      </c>
      <c r="B279" s="205" t="str">
        <f>_xlfn.XLOOKUP($A279,'(backend scoring)'!$V$2:$V$333,'(backend scoring)'!$A$2:$A$333,"")</f>
        <v/>
      </c>
      <c r="C279" s="205" t="str">
        <f>IFERROR(VLOOKUP($B279,'Institution Evaluation'!$A$55:$F$345,2,0),IFERROR(VLOOKUP($B279,'Privacy Analyst Evaluation'!$A$46:$F$120,2,0),""))&amp;""</f>
        <v/>
      </c>
      <c r="D279" s="205" t="str">
        <f>IFERROR(VLOOKUP($B279,'Institution Evaluation'!$A$55:$F$345,3,0),IFERROR(VLOOKUP($B279,'Privacy Analyst Evaluation'!$A$46:$F$120,3,0),""))&amp;""</f>
        <v/>
      </c>
      <c r="E279" s="205" t="str">
        <f>IFERROR(VLOOKUP($B279,'Institution Evaluation'!$A$55:$F$345,4,0),IFERROR(VLOOKUP($B279,'Privacy Analyst Evaluation'!$A$46:$F$120,4,0),""))&amp;""</f>
        <v/>
      </c>
      <c r="F279" s="205" t="str">
        <f>IFERROR(VLOOKUP($B279,'Institution Evaluation'!$A$55:$F$345,6,0),IFERROR(VLOOKUP($B279,'Privacy Analyst Evaluation'!$A$46:$F$120,6,0),""))&amp;""</f>
        <v/>
      </c>
      <c r="G279" s="206"/>
      <c r="H279" s="205" t="str">
        <f>IFERROR(IF($H278+1&gt;'(backend scoring)'!$Q$335,"",$H278+1),"")</f>
        <v/>
      </c>
      <c r="I279" s="205" t="str">
        <f>_xlfn.XLOOKUP($H279,'(backend scoring)'!$S$2:$S$333,'(backend scoring)'!$A$2:$A$333,"")</f>
        <v/>
      </c>
      <c r="J279" s="205" t="str">
        <f>IFERROR(VLOOKUP($I279,'Institution Evaluation'!$A$55:$F$345,2,0),IFERROR(VLOOKUP($I279,'Privacy Analyst Evaluation'!$A$46:$F$120,2,0),""))</f>
        <v/>
      </c>
      <c r="K279" s="205" t="str">
        <f>IFERROR(VLOOKUP($I279,'Institution Evaluation'!$A$55:$F$345,3,0),IFERROR(VLOOKUP($I279,'Privacy Analyst Evaluation'!$A$46:$F$120,3,0),""))&amp;""</f>
        <v/>
      </c>
      <c r="L279" s="205" t="str">
        <f>IFERROR(VLOOKUP($I279,'Institution Evaluation'!$A$55:$F$345,4,0),IFERROR(VLOOKUP($I279,'Privacy Analyst Evaluation'!$A$46:$F$120,4,0),""))&amp;""</f>
        <v/>
      </c>
      <c r="M279" s="205" t="str">
        <f>IFERROR(VLOOKUP($I279,'Institution Evaluation'!$A$55:$F$345,6,0),IFERROR(VLOOKUP($I279,'Privacy Analyst Evaluation'!$A$46:$F$120,6,0),""))&amp;""</f>
        <v/>
      </c>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row>
    <row r="280" spans="1:338" x14ac:dyDescent="0.3">
      <c r="A280" s="205" t="str">
        <f>IFERROR(IF($A279+1&gt;'(backend scoring)'!$T$335,"",$A279+1),"")</f>
        <v/>
      </c>
      <c r="B280" s="205" t="str">
        <f>_xlfn.XLOOKUP($A280,'(backend scoring)'!$V$2:$V$333,'(backend scoring)'!$A$2:$A$333,"")</f>
        <v/>
      </c>
      <c r="C280" s="205" t="str">
        <f>IFERROR(VLOOKUP($B280,'Institution Evaluation'!$A$55:$F$345,2,0),IFERROR(VLOOKUP($B280,'Privacy Analyst Evaluation'!$A$46:$F$120,2,0),""))&amp;""</f>
        <v/>
      </c>
      <c r="D280" s="205" t="str">
        <f>IFERROR(VLOOKUP($B280,'Institution Evaluation'!$A$55:$F$345,3,0),IFERROR(VLOOKUP($B280,'Privacy Analyst Evaluation'!$A$46:$F$120,3,0),""))&amp;""</f>
        <v/>
      </c>
      <c r="E280" s="205" t="str">
        <f>IFERROR(VLOOKUP($B280,'Institution Evaluation'!$A$55:$F$345,4,0),IFERROR(VLOOKUP($B280,'Privacy Analyst Evaluation'!$A$46:$F$120,4,0),""))&amp;""</f>
        <v/>
      </c>
      <c r="F280" s="205" t="str">
        <f>IFERROR(VLOOKUP($B280,'Institution Evaluation'!$A$55:$F$345,6,0),IFERROR(VLOOKUP($B280,'Privacy Analyst Evaluation'!$A$46:$F$120,6,0),""))&amp;""</f>
        <v/>
      </c>
      <c r="G280" s="206"/>
      <c r="H280" s="205" t="str">
        <f>IFERROR(IF($H279+1&gt;'(backend scoring)'!$Q$335,"",$H279+1),"")</f>
        <v/>
      </c>
      <c r="I280" s="205" t="str">
        <f>_xlfn.XLOOKUP($H280,'(backend scoring)'!$S$2:$S$333,'(backend scoring)'!$A$2:$A$333,"")</f>
        <v/>
      </c>
      <c r="J280" s="205" t="str">
        <f>IFERROR(VLOOKUP($I280,'Institution Evaluation'!$A$55:$F$345,2,0),IFERROR(VLOOKUP($I280,'Privacy Analyst Evaluation'!$A$46:$F$120,2,0),""))</f>
        <v/>
      </c>
      <c r="K280" s="205" t="str">
        <f>IFERROR(VLOOKUP($I280,'Institution Evaluation'!$A$55:$F$345,3,0),IFERROR(VLOOKUP($I280,'Privacy Analyst Evaluation'!$A$46:$F$120,3,0),""))&amp;""</f>
        <v/>
      </c>
      <c r="L280" s="205" t="str">
        <f>IFERROR(VLOOKUP($I280,'Institution Evaluation'!$A$55:$F$345,4,0),IFERROR(VLOOKUP($I280,'Privacy Analyst Evaluation'!$A$46:$F$120,4,0),""))&amp;""</f>
        <v/>
      </c>
      <c r="M280" s="205" t="str">
        <f>IFERROR(VLOOKUP($I280,'Institution Evaluation'!$A$55:$F$345,6,0),IFERROR(VLOOKUP($I280,'Privacy Analyst Evaluation'!$A$46:$F$120,6,0),""))&amp;""</f>
        <v/>
      </c>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row>
    <row r="281" spans="1:338" x14ac:dyDescent="0.3">
      <c r="A281" s="205" t="str">
        <f>IFERROR(IF($A280+1&gt;'(backend scoring)'!$T$335,"",$A280+1),"")</f>
        <v/>
      </c>
      <c r="B281" s="205" t="str">
        <f>_xlfn.XLOOKUP($A281,'(backend scoring)'!$V$2:$V$333,'(backend scoring)'!$A$2:$A$333,"")</f>
        <v/>
      </c>
      <c r="C281" s="205" t="str">
        <f>IFERROR(VLOOKUP($B281,'Institution Evaluation'!$A$55:$F$345,2,0),IFERROR(VLOOKUP($B281,'Privacy Analyst Evaluation'!$A$46:$F$120,2,0),""))&amp;""</f>
        <v/>
      </c>
      <c r="D281" s="205" t="str">
        <f>IFERROR(VLOOKUP($B281,'Institution Evaluation'!$A$55:$F$345,3,0),IFERROR(VLOOKUP($B281,'Privacy Analyst Evaluation'!$A$46:$F$120,3,0),""))&amp;""</f>
        <v/>
      </c>
      <c r="E281" s="205" t="str">
        <f>IFERROR(VLOOKUP($B281,'Institution Evaluation'!$A$55:$F$345,4,0),IFERROR(VLOOKUP($B281,'Privacy Analyst Evaluation'!$A$46:$F$120,4,0),""))&amp;""</f>
        <v/>
      </c>
      <c r="F281" s="205" t="str">
        <f>IFERROR(VLOOKUP($B281,'Institution Evaluation'!$A$55:$F$345,6,0),IFERROR(VLOOKUP($B281,'Privacy Analyst Evaluation'!$A$46:$F$120,6,0),""))&amp;""</f>
        <v/>
      </c>
      <c r="G281" s="206"/>
      <c r="H281" s="205" t="str">
        <f>IFERROR(IF($H280+1&gt;'(backend scoring)'!$Q$335,"",$H280+1),"")</f>
        <v/>
      </c>
      <c r="I281" s="205" t="str">
        <f>_xlfn.XLOOKUP($H281,'(backend scoring)'!$S$2:$S$333,'(backend scoring)'!$A$2:$A$333,"")</f>
        <v/>
      </c>
      <c r="J281" s="205" t="str">
        <f>IFERROR(VLOOKUP($I281,'Institution Evaluation'!$A$55:$F$345,2,0),IFERROR(VLOOKUP($I281,'Privacy Analyst Evaluation'!$A$46:$F$120,2,0),""))</f>
        <v/>
      </c>
      <c r="K281" s="205" t="str">
        <f>IFERROR(VLOOKUP($I281,'Institution Evaluation'!$A$55:$F$345,3,0),IFERROR(VLOOKUP($I281,'Privacy Analyst Evaluation'!$A$46:$F$120,3,0),""))&amp;""</f>
        <v/>
      </c>
      <c r="L281" s="205" t="str">
        <f>IFERROR(VLOOKUP($I281,'Institution Evaluation'!$A$55:$F$345,4,0),IFERROR(VLOOKUP($I281,'Privacy Analyst Evaluation'!$A$46:$F$120,4,0),""))&amp;""</f>
        <v/>
      </c>
      <c r="M281" s="205" t="str">
        <f>IFERROR(VLOOKUP($I281,'Institution Evaluation'!$A$55:$F$345,6,0),IFERROR(VLOOKUP($I281,'Privacy Analyst Evaluation'!$A$46:$F$120,6,0),""))&amp;""</f>
        <v/>
      </c>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row>
    <row r="282" spans="1:338" x14ac:dyDescent="0.3">
      <c r="A282" s="205" t="str">
        <f>IFERROR(IF($A281+1&gt;'(backend scoring)'!$T$335,"",$A281+1),"")</f>
        <v/>
      </c>
      <c r="B282" s="205" t="str">
        <f>_xlfn.XLOOKUP($A282,'(backend scoring)'!$V$2:$V$333,'(backend scoring)'!$A$2:$A$333,"")</f>
        <v/>
      </c>
      <c r="C282" s="205" t="str">
        <f>IFERROR(VLOOKUP($B282,'Institution Evaluation'!$A$55:$F$345,2,0),IFERROR(VLOOKUP($B282,'Privacy Analyst Evaluation'!$A$46:$F$120,2,0),""))&amp;""</f>
        <v/>
      </c>
      <c r="D282" s="205" t="str">
        <f>IFERROR(VLOOKUP($B282,'Institution Evaluation'!$A$55:$F$345,3,0),IFERROR(VLOOKUP($B282,'Privacy Analyst Evaluation'!$A$46:$F$120,3,0),""))&amp;""</f>
        <v/>
      </c>
      <c r="E282" s="205" t="str">
        <f>IFERROR(VLOOKUP($B282,'Institution Evaluation'!$A$55:$F$345,4,0),IFERROR(VLOOKUP($B282,'Privacy Analyst Evaluation'!$A$46:$F$120,4,0),""))&amp;""</f>
        <v/>
      </c>
      <c r="F282" s="205" t="str">
        <f>IFERROR(VLOOKUP($B282,'Institution Evaluation'!$A$55:$F$345,6,0),IFERROR(VLOOKUP($B282,'Privacy Analyst Evaluation'!$A$46:$F$120,6,0),""))&amp;""</f>
        <v/>
      </c>
      <c r="G282" s="206"/>
      <c r="H282" s="205" t="str">
        <f>IFERROR(IF($H281+1&gt;'(backend scoring)'!$Q$335,"",$H281+1),"")</f>
        <v/>
      </c>
      <c r="I282" s="205" t="str">
        <f>_xlfn.XLOOKUP($H282,'(backend scoring)'!$S$2:$S$333,'(backend scoring)'!$A$2:$A$333,"")</f>
        <v/>
      </c>
      <c r="J282" s="205" t="str">
        <f>IFERROR(VLOOKUP($I282,'Institution Evaluation'!$A$55:$F$345,2,0),IFERROR(VLOOKUP($I282,'Privacy Analyst Evaluation'!$A$46:$F$120,2,0),""))</f>
        <v/>
      </c>
      <c r="K282" s="205" t="str">
        <f>IFERROR(VLOOKUP($I282,'Institution Evaluation'!$A$55:$F$345,3,0),IFERROR(VLOOKUP($I282,'Privacy Analyst Evaluation'!$A$46:$F$120,3,0),""))&amp;""</f>
        <v/>
      </c>
      <c r="L282" s="205" t="str">
        <f>IFERROR(VLOOKUP($I282,'Institution Evaluation'!$A$55:$F$345,4,0),IFERROR(VLOOKUP($I282,'Privacy Analyst Evaluation'!$A$46:$F$120,4,0),""))&amp;""</f>
        <v/>
      </c>
      <c r="M282" s="205" t="str">
        <f>IFERROR(VLOOKUP($I282,'Institution Evaluation'!$A$55:$F$345,6,0),IFERROR(VLOOKUP($I282,'Privacy Analyst Evaluation'!$A$46:$F$120,6,0),""))&amp;""</f>
        <v/>
      </c>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row>
    <row r="283" spans="1:338" x14ac:dyDescent="0.3">
      <c r="A283" s="205" t="str">
        <f>IFERROR(IF($A282+1&gt;'(backend scoring)'!$T$335,"",$A282+1),"")</f>
        <v/>
      </c>
      <c r="B283" s="205" t="str">
        <f>_xlfn.XLOOKUP($A283,'(backend scoring)'!$V$2:$V$333,'(backend scoring)'!$A$2:$A$333,"")</f>
        <v/>
      </c>
      <c r="C283" s="205" t="str">
        <f>IFERROR(VLOOKUP($B283,'Institution Evaluation'!$A$55:$F$345,2,0),IFERROR(VLOOKUP($B283,'Privacy Analyst Evaluation'!$A$46:$F$120,2,0),""))&amp;""</f>
        <v/>
      </c>
      <c r="D283" s="205" t="str">
        <f>IFERROR(VLOOKUP($B283,'Institution Evaluation'!$A$55:$F$345,3,0),IFERROR(VLOOKUP($B283,'Privacy Analyst Evaluation'!$A$46:$F$120,3,0),""))&amp;""</f>
        <v/>
      </c>
      <c r="E283" s="205" t="str">
        <f>IFERROR(VLOOKUP($B283,'Institution Evaluation'!$A$55:$F$345,4,0),IFERROR(VLOOKUP($B283,'Privacy Analyst Evaluation'!$A$46:$F$120,4,0),""))&amp;""</f>
        <v/>
      </c>
      <c r="F283" s="205" t="str">
        <f>IFERROR(VLOOKUP($B283,'Institution Evaluation'!$A$55:$F$345,6,0),IFERROR(VLOOKUP($B283,'Privacy Analyst Evaluation'!$A$46:$F$120,6,0),""))&amp;""</f>
        <v/>
      </c>
      <c r="G283" s="206"/>
      <c r="H283" s="205" t="str">
        <f>IFERROR(IF($H282+1&gt;'(backend scoring)'!$Q$335,"",$H282+1),"")</f>
        <v/>
      </c>
      <c r="I283" s="205" t="str">
        <f>_xlfn.XLOOKUP($H283,'(backend scoring)'!$S$2:$S$333,'(backend scoring)'!$A$2:$A$333,"")</f>
        <v/>
      </c>
      <c r="J283" s="205" t="str">
        <f>IFERROR(VLOOKUP($I283,'Institution Evaluation'!$A$55:$F$345,2,0),IFERROR(VLOOKUP($I283,'Privacy Analyst Evaluation'!$A$46:$F$120,2,0),""))</f>
        <v/>
      </c>
      <c r="K283" s="205" t="str">
        <f>IFERROR(VLOOKUP($I283,'Institution Evaluation'!$A$55:$F$345,3,0),IFERROR(VLOOKUP($I283,'Privacy Analyst Evaluation'!$A$46:$F$120,3,0),""))&amp;""</f>
        <v/>
      </c>
      <c r="L283" s="205" t="str">
        <f>IFERROR(VLOOKUP($I283,'Institution Evaluation'!$A$55:$F$345,4,0),IFERROR(VLOOKUP($I283,'Privacy Analyst Evaluation'!$A$46:$F$120,4,0),""))&amp;""</f>
        <v/>
      </c>
      <c r="M283" s="205" t="str">
        <f>IFERROR(VLOOKUP($I283,'Institution Evaluation'!$A$55:$F$345,6,0),IFERROR(VLOOKUP($I283,'Privacy Analyst Evaluation'!$A$46:$F$120,6,0),""))&amp;""</f>
        <v/>
      </c>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row>
    <row r="284" spans="1:338" x14ac:dyDescent="0.3">
      <c r="A284" s="205" t="str">
        <f>IFERROR(IF($A283+1&gt;'(backend scoring)'!$T$335,"",$A283+1),"")</f>
        <v/>
      </c>
      <c r="B284" s="205" t="str">
        <f>_xlfn.XLOOKUP($A284,'(backend scoring)'!$V$2:$V$333,'(backend scoring)'!$A$2:$A$333,"")</f>
        <v/>
      </c>
      <c r="C284" s="205" t="str">
        <f>IFERROR(VLOOKUP($B284,'Institution Evaluation'!$A$55:$F$345,2,0),IFERROR(VLOOKUP($B284,'Privacy Analyst Evaluation'!$A$46:$F$120,2,0),""))&amp;""</f>
        <v/>
      </c>
      <c r="D284" s="205" t="str">
        <f>IFERROR(VLOOKUP($B284,'Institution Evaluation'!$A$55:$F$345,3,0),IFERROR(VLOOKUP($B284,'Privacy Analyst Evaluation'!$A$46:$F$120,3,0),""))&amp;""</f>
        <v/>
      </c>
      <c r="E284" s="205" t="str">
        <f>IFERROR(VLOOKUP($B284,'Institution Evaluation'!$A$55:$F$345,4,0),IFERROR(VLOOKUP($B284,'Privacy Analyst Evaluation'!$A$46:$F$120,4,0),""))&amp;""</f>
        <v/>
      </c>
      <c r="F284" s="205" t="str">
        <f>IFERROR(VLOOKUP($B284,'Institution Evaluation'!$A$55:$F$345,6,0),IFERROR(VLOOKUP($B284,'Privacy Analyst Evaluation'!$A$46:$F$120,6,0),""))&amp;""</f>
        <v/>
      </c>
      <c r="G284" s="206"/>
      <c r="H284" s="205" t="str">
        <f>IFERROR(IF($H283+1&gt;'(backend scoring)'!$Q$335,"",$H283+1),"")</f>
        <v/>
      </c>
      <c r="I284" s="205" t="str">
        <f>_xlfn.XLOOKUP($H284,'(backend scoring)'!$S$2:$S$333,'(backend scoring)'!$A$2:$A$333,"")</f>
        <v/>
      </c>
      <c r="J284" s="205" t="str">
        <f>IFERROR(VLOOKUP($I284,'Institution Evaluation'!$A$55:$F$345,2,0),IFERROR(VLOOKUP($I284,'Privacy Analyst Evaluation'!$A$46:$F$120,2,0),""))</f>
        <v/>
      </c>
      <c r="K284" s="205" t="str">
        <f>IFERROR(VLOOKUP($I284,'Institution Evaluation'!$A$55:$F$345,3,0),IFERROR(VLOOKUP($I284,'Privacy Analyst Evaluation'!$A$46:$F$120,3,0),""))&amp;""</f>
        <v/>
      </c>
      <c r="L284" s="205" t="str">
        <f>IFERROR(VLOOKUP($I284,'Institution Evaluation'!$A$55:$F$345,4,0),IFERROR(VLOOKUP($I284,'Privacy Analyst Evaluation'!$A$46:$F$120,4,0),""))&amp;""</f>
        <v/>
      </c>
      <c r="M284" s="205" t="str">
        <f>IFERROR(VLOOKUP($I284,'Institution Evaluation'!$A$55:$F$345,6,0),IFERROR(VLOOKUP($I284,'Privacy Analyst Evaluation'!$A$46:$F$120,6,0),""))&amp;""</f>
        <v/>
      </c>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row>
    <row r="285" spans="1:338" x14ac:dyDescent="0.3">
      <c r="A285" s="205" t="str">
        <f>IFERROR(IF($A284+1&gt;'(backend scoring)'!$T$335,"",$A284+1),"")</f>
        <v/>
      </c>
      <c r="B285" s="205" t="str">
        <f>_xlfn.XLOOKUP($A285,'(backend scoring)'!$V$2:$V$333,'(backend scoring)'!$A$2:$A$333,"")</f>
        <v/>
      </c>
      <c r="C285" s="205" t="str">
        <f>IFERROR(VLOOKUP($B285,'Institution Evaluation'!$A$55:$F$345,2,0),IFERROR(VLOOKUP($B285,'Privacy Analyst Evaluation'!$A$46:$F$120,2,0),""))&amp;""</f>
        <v/>
      </c>
      <c r="D285" s="205" t="str">
        <f>IFERROR(VLOOKUP($B285,'Institution Evaluation'!$A$55:$F$345,3,0),IFERROR(VLOOKUP($B285,'Privacy Analyst Evaluation'!$A$46:$F$120,3,0),""))&amp;""</f>
        <v/>
      </c>
      <c r="E285" s="205" t="str">
        <f>IFERROR(VLOOKUP($B285,'Institution Evaluation'!$A$55:$F$345,4,0),IFERROR(VLOOKUP($B285,'Privacy Analyst Evaluation'!$A$46:$F$120,4,0),""))&amp;""</f>
        <v/>
      </c>
      <c r="F285" s="205" t="str">
        <f>IFERROR(VLOOKUP($B285,'Institution Evaluation'!$A$55:$F$345,6,0),IFERROR(VLOOKUP($B285,'Privacy Analyst Evaluation'!$A$46:$F$120,6,0),""))&amp;""</f>
        <v/>
      </c>
      <c r="G285" s="206"/>
      <c r="H285" s="205" t="str">
        <f>IFERROR(IF($H284+1&gt;'(backend scoring)'!$Q$335,"",$H284+1),"")</f>
        <v/>
      </c>
      <c r="I285" s="205" t="str">
        <f>_xlfn.XLOOKUP($H285,'(backend scoring)'!$S$2:$S$333,'(backend scoring)'!$A$2:$A$333,"")</f>
        <v/>
      </c>
      <c r="J285" s="205" t="str">
        <f>IFERROR(VLOOKUP($I285,'Institution Evaluation'!$A$55:$F$345,2,0),IFERROR(VLOOKUP($I285,'Privacy Analyst Evaluation'!$A$46:$F$120,2,0),""))</f>
        <v/>
      </c>
      <c r="K285" s="205" t="str">
        <f>IFERROR(VLOOKUP($I285,'Institution Evaluation'!$A$55:$F$345,3,0),IFERROR(VLOOKUP($I285,'Privacy Analyst Evaluation'!$A$46:$F$120,3,0),""))&amp;""</f>
        <v/>
      </c>
      <c r="L285" s="205" t="str">
        <f>IFERROR(VLOOKUP($I285,'Institution Evaluation'!$A$55:$F$345,4,0),IFERROR(VLOOKUP($I285,'Privacy Analyst Evaluation'!$A$46:$F$120,4,0),""))&amp;""</f>
        <v/>
      </c>
      <c r="M285" s="205" t="str">
        <f>IFERROR(VLOOKUP($I285,'Institution Evaluation'!$A$55:$F$345,6,0),IFERROR(VLOOKUP($I285,'Privacy Analyst Evaluation'!$A$46:$F$120,6,0),""))&amp;""</f>
        <v/>
      </c>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row>
    <row r="286" spans="1:338" x14ac:dyDescent="0.3">
      <c r="A286" s="205" t="str">
        <f>IFERROR(IF($A285+1&gt;'(backend scoring)'!$T$335,"",$A285+1),"")</f>
        <v/>
      </c>
      <c r="B286" s="205" t="str">
        <f>_xlfn.XLOOKUP($A286,'(backend scoring)'!$V$2:$V$333,'(backend scoring)'!$A$2:$A$333,"")</f>
        <v/>
      </c>
      <c r="C286" s="205" t="str">
        <f>IFERROR(VLOOKUP($B286,'Institution Evaluation'!$A$55:$F$345,2,0),IFERROR(VLOOKUP($B286,'Privacy Analyst Evaluation'!$A$46:$F$120,2,0),""))&amp;""</f>
        <v/>
      </c>
      <c r="D286" s="205" t="str">
        <f>IFERROR(VLOOKUP($B286,'Institution Evaluation'!$A$55:$F$345,3,0),IFERROR(VLOOKUP($B286,'Privacy Analyst Evaluation'!$A$46:$F$120,3,0),""))&amp;""</f>
        <v/>
      </c>
      <c r="E286" s="205" t="str">
        <f>IFERROR(VLOOKUP($B286,'Institution Evaluation'!$A$55:$F$345,4,0),IFERROR(VLOOKUP($B286,'Privacy Analyst Evaluation'!$A$46:$F$120,4,0),""))&amp;""</f>
        <v/>
      </c>
      <c r="F286" s="205" t="str">
        <f>IFERROR(VLOOKUP($B286,'Institution Evaluation'!$A$55:$F$345,6,0),IFERROR(VLOOKUP($B286,'Privacy Analyst Evaluation'!$A$46:$F$120,6,0),""))&amp;""</f>
        <v/>
      </c>
      <c r="G286" s="206"/>
      <c r="H286" s="205" t="str">
        <f>IFERROR(IF($H285+1&gt;'(backend scoring)'!$Q$335,"",$H285+1),"")</f>
        <v/>
      </c>
      <c r="I286" s="205" t="str">
        <f>_xlfn.XLOOKUP($H286,'(backend scoring)'!$S$2:$S$333,'(backend scoring)'!$A$2:$A$333,"")</f>
        <v/>
      </c>
      <c r="J286" s="205" t="str">
        <f>IFERROR(VLOOKUP($I286,'Institution Evaluation'!$A$55:$F$345,2,0),IFERROR(VLOOKUP($I286,'Privacy Analyst Evaluation'!$A$46:$F$120,2,0),""))</f>
        <v/>
      </c>
      <c r="K286" s="205" t="str">
        <f>IFERROR(VLOOKUP($I286,'Institution Evaluation'!$A$55:$F$345,3,0),IFERROR(VLOOKUP($I286,'Privacy Analyst Evaluation'!$A$46:$F$120,3,0),""))&amp;""</f>
        <v/>
      </c>
      <c r="L286" s="205" t="str">
        <f>IFERROR(VLOOKUP($I286,'Institution Evaluation'!$A$55:$F$345,4,0),IFERROR(VLOOKUP($I286,'Privacy Analyst Evaluation'!$A$46:$F$120,4,0),""))&amp;""</f>
        <v/>
      </c>
      <c r="M286" s="205" t="str">
        <f>IFERROR(VLOOKUP($I286,'Institution Evaluation'!$A$55:$F$345,6,0),IFERROR(VLOOKUP($I286,'Privacy Analyst Evaluation'!$A$46:$F$120,6,0),""))&amp;""</f>
        <v/>
      </c>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row>
    <row r="287" spans="1:338" x14ac:dyDescent="0.3">
      <c r="A287" s="205" t="str">
        <f>IFERROR(IF($A286+1&gt;'(backend scoring)'!$T$335,"",$A286+1),"")</f>
        <v/>
      </c>
      <c r="B287" s="205" t="str">
        <f>_xlfn.XLOOKUP($A287,'(backend scoring)'!$V$2:$V$333,'(backend scoring)'!$A$2:$A$333,"")</f>
        <v/>
      </c>
      <c r="C287" s="205" t="str">
        <f>IFERROR(VLOOKUP($B287,'Institution Evaluation'!$A$55:$F$345,2,0),IFERROR(VLOOKUP($B287,'Privacy Analyst Evaluation'!$A$46:$F$120,2,0),""))&amp;""</f>
        <v/>
      </c>
      <c r="D287" s="205" t="str">
        <f>IFERROR(VLOOKUP($B287,'Institution Evaluation'!$A$55:$F$345,3,0),IFERROR(VLOOKUP($B287,'Privacy Analyst Evaluation'!$A$46:$F$120,3,0),""))&amp;""</f>
        <v/>
      </c>
      <c r="E287" s="205" t="str">
        <f>IFERROR(VLOOKUP($B287,'Institution Evaluation'!$A$55:$F$345,4,0),IFERROR(VLOOKUP($B287,'Privacy Analyst Evaluation'!$A$46:$F$120,4,0),""))&amp;""</f>
        <v/>
      </c>
      <c r="F287" s="205" t="str">
        <f>IFERROR(VLOOKUP($B287,'Institution Evaluation'!$A$55:$F$345,6,0),IFERROR(VLOOKUP($B287,'Privacy Analyst Evaluation'!$A$46:$F$120,6,0),""))&amp;""</f>
        <v/>
      </c>
      <c r="G287" s="206"/>
      <c r="H287" s="205" t="str">
        <f>IFERROR(IF($H286+1&gt;'(backend scoring)'!$Q$335,"",$H286+1),"")</f>
        <v/>
      </c>
      <c r="I287" s="205" t="str">
        <f>_xlfn.XLOOKUP($H287,'(backend scoring)'!$S$2:$S$333,'(backend scoring)'!$A$2:$A$333,"")</f>
        <v/>
      </c>
      <c r="J287" s="205" t="str">
        <f>IFERROR(VLOOKUP($I287,'Institution Evaluation'!$A$55:$F$345,2,0),IFERROR(VLOOKUP($I287,'Privacy Analyst Evaluation'!$A$46:$F$120,2,0),""))</f>
        <v/>
      </c>
      <c r="K287" s="205" t="str">
        <f>IFERROR(VLOOKUP($I287,'Institution Evaluation'!$A$55:$F$345,3,0),IFERROR(VLOOKUP($I287,'Privacy Analyst Evaluation'!$A$46:$F$120,3,0),""))&amp;""</f>
        <v/>
      </c>
      <c r="L287" s="205" t="str">
        <f>IFERROR(VLOOKUP($I287,'Institution Evaluation'!$A$55:$F$345,4,0),IFERROR(VLOOKUP($I287,'Privacy Analyst Evaluation'!$A$46:$F$120,4,0),""))&amp;""</f>
        <v/>
      </c>
      <c r="M287" s="205" t="str">
        <f>IFERROR(VLOOKUP($I287,'Institution Evaluation'!$A$55:$F$345,6,0),IFERROR(VLOOKUP($I287,'Privacy Analyst Evaluation'!$A$46:$F$120,6,0),""))&amp;""</f>
        <v/>
      </c>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row>
    <row r="288" spans="1:338" x14ac:dyDescent="0.3">
      <c r="A288" s="205" t="str">
        <f>IFERROR(IF($A287+1&gt;'(backend scoring)'!$T$335,"",$A287+1),"")</f>
        <v/>
      </c>
      <c r="B288" s="205" t="str">
        <f>_xlfn.XLOOKUP($A288,'(backend scoring)'!$V$2:$V$333,'(backend scoring)'!$A$2:$A$333,"")</f>
        <v/>
      </c>
      <c r="C288" s="205" t="str">
        <f>IFERROR(VLOOKUP($B288,'Institution Evaluation'!$A$55:$F$345,2,0),IFERROR(VLOOKUP($B288,'Privacy Analyst Evaluation'!$A$46:$F$120,2,0),""))&amp;""</f>
        <v/>
      </c>
      <c r="D288" s="205" t="str">
        <f>IFERROR(VLOOKUP($B288,'Institution Evaluation'!$A$55:$F$345,3,0),IFERROR(VLOOKUP($B288,'Privacy Analyst Evaluation'!$A$46:$F$120,3,0),""))&amp;""</f>
        <v/>
      </c>
      <c r="E288" s="205" t="str">
        <f>IFERROR(VLOOKUP($B288,'Institution Evaluation'!$A$55:$F$345,4,0),IFERROR(VLOOKUP($B288,'Privacy Analyst Evaluation'!$A$46:$F$120,4,0),""))&amp;""</f>
        <v/>
      </c>
      <c r="F288" s="205" t="str">
        <f>IFERROR(VLOOKUP($B288,'Institution Evaluation'!$A$55:$F$345,6,0),IFERROR(VLOOKUP($B288,'Privacy Analyst Evaluation'!$A$46:$F$120,6,0),""))&amp;""</f>
        <v/>
      </c>
      <c r="G288" s="206"/>
      <c r="H288" s="205" t="str">
        <f>IFERROR(IF($H287+1&gt;'(backend scoring)'!$Q$335,"",$H287+1),"")</f>
        <v/>
      </c>
      <c r="I288" s="205" t="str">
        <f>_xlfn.XLOOKUP($H288,'(backend scoring)'!$S$2:$S$333,'(backend scoring)'!$A$2:$A$333,"")</f>
        <v/>
      </c>
      <c r="J288" s="205" t="str">
        <f>IFERROR(VLOOKUP($I288,'Institution Evaluation'!$A$55:$F$345,2,0),IFERROR(VLOOKUP($I288,'Privacy Analyst Evaluation'!$A$46:$F$120,2,0),""))</f>
        <v/>
      </c>
      <c r="K288" s="205" t="str">
        <f>IFERROR(VLOOKUP($I288,'Institution Evaluation'!$A$55:$F$345,3,0),IFERROR(VLOOKUP($I288,'Privacy Analyst Evaluation'!$A$46:$F$120,3,0),""))&amp;""</f>
        <v/>
      </c>
      <c r="L288" s="205" t="str">
        <f>IFERROR(VLOOKUP($I288,'Institution Evaluation'!$A$55:$F$345,4,0),IFERROR(VLOOKUP($I288,'Privacy Analyst Evaluation'!$A$46:$F$120,4,0),""))&amp;""</f>
        <v/>
      </c>
      <c r="M288" s="205" t="str">
        <f>IFERROR(VLOOKUP($I288,'Institution Evaluation'!$A$55:$F$345,6,0),IFERROR(VLOOKUP($I288,'Privacy Analyst Evaluation'!$A$46:$F$120,6,0),""))&amp;""</f>
        <v/>
      </c>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row>
    <row r="289" spans="1:338" x14ac:dyDescent="0.3">
      <c r="A289" s="205" t="str">
        <f>IFERROR(IF($A288+1&gt;'(backend scoring)'!$T$335,"",$A288+1),"")</f>
        <v/>
      </c>
      <c r="B289" s="205" t="str">
        <f>_xlfn.XLOOKUP($A289,'(backend scoring)'!$V$2:$V$333,'(backend scoring)'!$A$2:$A$333,"")</f>
        <v/>
      </c>
      <c r="C289" s="205" t="str">
        <f>IFERROR(VLOOKUP($B289,'Institution Evaluation'!$A$55:$F$345,2,0),IFERROR(VLOOKUP($B289,'Privacy Analyst Evaluation'!$A$46:$F$120,2,0),""))&amp;""</f>
        <v/>
      </c>
      <c r="D289" s="205" t="str">
        <f>IFERROR(VLOOKUP($B289,'Institution Evaluation'!$A$55:$F$345,3,0),IFERROR(VLOOKUP($B289,'Privacy Analyst Evaluation'!$A$46:$F$120,3,0),""))&amp;""</f>
        <v/>
      </c>
      <c r="E289" s="205" t="str">
        <f>IFERROR(VLOOKUP($B289,'Institution Evaluation'!$A$55:$F$345,4,0),IFERROR(VLOOKUP($B289,'Privacy Analyst Evaluation'!$A$46:$F$120,4,0),""))&amp;""</f>
        <v/>
      </c>
      <c r="F289" s="205" t="str">
        <f>IFERROR(VLOOKUP($B289,'Institution Evaluation'!$A$55:$F$345,6,0),IFERROR(VLOOKUP($B289,'Privacy Analyst Evaluation'!$A$46:$F$120,6,0),""))&amp;""</f>
        <v/>
      </c>
      <c r="G289" s="206"/>
      <c r="H289" s="205" t="str">
        <f>IFERROR(IF($H288+1&gt;'(backend scoring)'!$Q$335,"",$H288+1),"")</f>
        <v/>
      </c>
      <c r="I289" s="205" t="str">
        <f>_xlfn.XLOOKUP($H289,'(backend scoring)'!$S$2:$S$333,'(backend scoring)'!$A$2:$A$333,"")</f>
        <v/>
      </c>
      <c r="J289" s="205" t="str">
        <f>IFERROR(VLOOKUP($I289,'Institution Evaluation'!$A$55:$F$345,2,0),IFERROR(VLOOKUP($I289,'Privacy Analyst Evaluation'!$A$46:$F$120,2,0),""))</f>
        <v/>
      </c>
      <c r="K289" s="205" t="str">
        <f>IFERROR(VLOOKUP($I289,'Institution Evaluation'!$A$55:$F$345,3,0),IFERROR(VLOOKUP($I289,'Privacy Analyst Evaluation'!$A$46:$F$120,3,0),""))&amp;""</f>
        <v/>
      </c>
      <c r="L289" s="205" t="str">
        <f>IFERROR(VLOOKUP($I289,'Institution Evaluation'!$A$55:$F$345,4,0),IFERROR(VLOOKUP($I289,'Privacy Analyst Evaluation'!$A$46:$F$120,4,0),""))&amp;""</f>
        <v/>
      </c>
      <c r="M289" s="205" t="str">
        <f>IFERROR(VLOOKUP($I289,'Institution Evaluation'!$A$55:$F$345,6,0),IFERROR(VLOOKUP($I289,'Privacy Analyst Evaluation'!$A$46:$F$120,6,0),""))&amp;""</f>
        <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row>
    <row r="290" spans="1:338" x14ac:dyDescent="0.3">
      <c r="A290" s="205" t="str">
        <f>IFERROR(IF($A289+1&gt;'(backend scoring)'!$T$335,"",$A289+1),"")</f>
        <v/>
      </c>
      <c r="B290" s="205" t="str">
        <f>_xlfn.XLOOKUP($A290,'(backend scoring)'!$V$2:$V$333,'(backend scoring)'!$A$2:$A$333,"")</f>
        <v/>
      </c>
      <c r="C290" s="205" t="str">
        <f>IFERROR(VLOOKUP($B290,'Institution Evaluation'!$A$55:$F$345,2,0),IFERROR(VLOOKUP($B290,'Privacy Analyst Evaluation'!$A$46:$F$120,2,0),""))&amp;""</f>
        <v/>
      </c>
      <c r="D290" s="205" t="str">
        <f>IFERROR(VLOOKUP($B290,'Institution Evaluation'!$A$55:$F$345,3,0),IFERROR(VLOOKUP($B290,'Privacy Analyst Evaluation'!$A$46:$F$120,3,0),""))&amp;""</f>
        <v/>
      </c>
      <c r="E290" s="205" t="str">
        <f>IFERROR(VLOOKUP($B290,'Institution Evaluation'!$A$55:$F$345,4,0),IFERROR(VLOOKUP($B290,'Privacy Analyst Evaluation'!$A$46:$F$120,4,0),""))&amp;""</f>
        <v/>
      </c>
      <c r="F290" s="205" t="str">
        <f>IFERROR(VLOOKUP($B290,'Institution Evaluation'!$A$55:$F$345,6,0),IFERROR(VLOOKUP($B290,'Privacy Analyst Evaluation'!$A$46:$F$120,6,0),""))&amp;""</f>
        <v/>
      </c>
      <c r="G290" s="206"/>
      <c r="H290" s="205" t="str">
        <f>IFERROR(IF($H289+1&gt;'(backend scoring)'!$Q$335,"",$H289+1),"")</f>
        <v/>
      </c>
      <c r="I290" s="205" t="str">
        <f>_xlfn.XLOOKUP($H290,'(backend scoring)'!$S$2:$S$333,'(backend scoring)'!$A$2:$A$333,"")</f>
        <v/>
      </c>
      <c r="J290" s="205" t="str">
        <f>IFERROR(VLOOKUP($I290,'Institution Evaluation'!$A$55:$F$345,2,0),IFERROR(VLOOKUP($I290,'Privacy Analyst Evaluation'!$A$46:$F$120,2,0),""))</f>
        <v/>
      </c>
      <c r="K290" s="205" t="str">
        <f>IFERROR(VLOOKUP($I290,'Institution Evaluation'!$A$55:$F$345,3,0),IFERROR(VLOOKUP($I290,'Privacy Analyst Evaluation'!$A$46:$F$120,3,0),""))&amp;""</f>
        <v/>
      </c>
      <c r="L290" s="205" t="str">
        <f>IFERROR(VLOOKUP($I290,'Institution Evaluation'!$A$55:$F$345,4,0),IFERROR(VLOOKUP($I290,'Privacy Analyst Evaluation'!$A$46:$F$120,4,0),""))&amp;""</f>
        <v/>
      </c>
      <c r="M290" s="205" t="str">
        <f>IFERROR(VLOOKUP($I290,'Institution Evaluation'!$A$55:$F$345,6,0),IFERROR(VLOOKUP($I290,'Privacy Analyst Evaluation'!$A$46:$F$120,6,0),""))&amp;""</f>
        <v/>
      </c>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row>
    <row r="291" spans="1:338" x14ac:dyDescent="0.3">
      <c r="A291" s="205" t="str">
        <f>IFERROR(IF($A290+1&gt;'(backend scoring)'!$T$335,"",$A290+1),"")</f>
        <v/>
      </c>
      <c r="B291" s="205" t="str">
        <f>_xlfn.XLOOKUP($A291,'(backend scoring)'!$V$2:$V$333,'(backend scoring)'!$A$2:$A$333,"")</f>
        <v/>
      </c>
      <c r="C291" s="205" t="str">
        <f>IFERROR(VLOOKUP($B291,'Institution Evaluation'!$A$55:$F$345,2,0),IFERROR(VLOOKUP($B291,'Privacy Analyst Evaluation'!$A$46:$F$120,2,0),""))&amp;""</f>
        <v/>
      </c>
      <c r="D291" s="205" t="str">
        <f>IFERROR(VLOOKUP($B291,'Institution Evaluation'!$A$55:$F$345,3,0),IFERROR(VLOOKUP($B291,'Privacy Analyst Evaluation'!$A$46:$F$120,3,0),""))&amp;""</f>
        <v/>
      </c>
      <c r="E291" s="205" t="str">
        <f>IFERROR(VLOOKUP($B291,'Institution Evaluation'!$A$55:$F$345,4,0),IFERROR(VLOOKUP($B291,'Privacy Analyst Evaluation'!$A$46:$F$120,4,0),""))&amp;""</f>
        <v/>
      </c>
      <c r="F291" s="205" t="str">
        <f>IFERROR(VLOOKUP($B291,'Institution Evaluation'!$A$55:$F$345,6,0),IFERROR(VLOOKUP($B291,'Privacy Analyst Evaluation'!$A$46:$F$120,6,0),""))&amp;""</f>
        <v/>
      </c>
      <c r="G291" s="206"/>
      <c r="H291" s="205" t="str">
        <f>IFERROR(IF($H290+1&gt;'(backend scoring)'!$Q$335,"",$H290+1),"")</f>
        <v/>
      </c>
      <c r="I291" s="205" t="str">
        <f>_xlfn.XLOOKUP($H291,'(backend scoring)'!$S$2:$S$333,'(backend scoring)'!$A$2:$A$333,"")</f>
        <v/>
      </c>
      <c r="J291" s="205" t="str">
        <f>IFERROR(VLOOKUP($I291,'Institution Evaluation'!$A$55:$F$345,2,0),IFERROR(VLOOKUP($I291,'Privacy Analyst Evaluation'!$A$46:$F$120,2,0),""))</f>
        <v/>
      </c>
      <c r="K291" s="205" t="str">
        <f>IFERROR(VLOOKUP($I291,'Institution Evaluation'!$A$55:$F$345,3,0),IFERROR(VLOOKUP($I291,'Privacy Analyst Evaluation'!$A$46:$F$120,3,0),""))&amp;""</f>
        <v/>
      </c>
      <c r="L291" s="205" t="str">
        <f>IFERROR(VLOOKUP($I291,'Institution Evaluation'!$A$55:$F$345,4,0),IFERROR(VLOOKUP($I291,'Privacy Analyst Evaluation'!$A$46:$F$120,4,0),""))&amp;""</f>
        <v/>
      </c>
      <c r="M291" s="205" t="str">
        <f>IFERROR(VLOOKUP($I291,'Institution Evaluation'!$A$55:$F$345,6,0),IFERROR(VLOOKUP($I291,'Privacy Analyst Evaluation'!$A$46:$F$120,6,0),""))&amp;""</f>
        <v/>
      </c>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row>
    <row r="292" spans="1:338" x14ac:dyDescent="0.3">
      <c r="A292" s="205" t="str">
        <f>IFERROR(IF($A291+1&gt;'(backend scoring)'!$T$335,"",$A291+1),"")</f>
        <v/>
      </c>
      <c r="B292" s="205" t="str">
        <f>_xlfn.XLOOKUP($A292,'(backend scoring)'!$V$2:$V$333,'(backend scoring)'!$A$2:$A$333,"")</f>
        <v/>
      </c>
      <c r="C292" s="205" t="str">
        <f>IFERROR(VLOOKUP($B292,'Institution Evaluation'!$A$55:$F$345,2,0),IFERROR(VLOOKUP($B292,'Privacy Analyst Evaluation'!$A$46:$F$120,2,0),""))&amp;""</f>
        <v/>
      </c>
      <c r="D292" s="205" t="str">
        <f>IFERROR(VLOOKUP($B292,'Institution Evaluation'!$A$55:$F$345,3,0),IFERROR(VLOOKUP($B292,'Privacy Analyst Evaluation'!$A$46:$F$120,3,0),""))&amp;""</f>
        <v/>
      </c>
      <c r="E292" s="205" t="str">
        <f>IFERROR(VLOOKUP($B292,'Institution Evaluation'!$A$55:$F$345,4,0),IFERROR(VLOOKUP($B292,'Privacy Analyst Evaluation'!$A$46:$F$120,4,0),""))&amp;""</f>
        <v/>
      </c>
      <c r="F292" s="205" t="str">
        <f>IFERROR(VLOOKUP($B292,'Institution Evaluation'!$A$55:$F$345,6,0),IFERROR(VLOOKUP($B292,'Privacy Analyst Evaluation'!$A$46:$F$120,6,0),""))&amp;""</f>
        <v/>
      </c>
      <c r="G292" s="206"/>
      <c r="H292" s="205" t="str">
        <f>IFERROR(IF($H291+1&gt;'(backend scoring)'!$Q$335,"",$H291+1),"")</f>
        <v/>
      </c>
      <c r="I292" s="205" t="str">
        <f>_xlfn.XLOOKUP($H292,'(backend scoring)'!$S$2:$S$333,'(backend scoring)'!$A$2:$A$333,"")</f>
        <v/>
      </c>
      <c r="J292" s="205" t="str">
        <f>IFERROR(VLOOKUP($I292,'Institution Evaluation'!$A$55:$F$345,2,0),IFERROR(VLOOKUP($I292,'Privacy Analyst Evaluation'!$A$46:$F$120,2,0),""))</f>
        <v/>
      </c>
      <c r="K292" s="205" t="str">
        <f>IFERROR(VLOOKUP($I292,'Institution Evaluation'!$A$55:$F$345,3,0),IFERROR(VLOOKUP($I292,'Privacy Analyst Evaluation'!$A$46:$F$120,3,0),""))&amp;""</f>
        <v/>
      </c>
      <c r="L292" s="205" t="str">
        <f>IFERROR(VLOOKUP($I292,'Institution Evaluation'!$A$55:$F$345,4,0),IFERROR(VLOOKUP($I292,'Privacy Analyst Evaluation'!$A$46:$F$120,4,0),""))&amp;""</f>
        <v/>
      </c>
      <c r="M292" s="205" t="str">
        <f>IFERROR(VLOOKUP($I292,'Institution Evaluation'!$A$55:$F$345,6,0),IFERROR(VLOOKUP($I292,'Privacy Analyst Evaluation'!$A$46:$F$120,6,0),""))&amp;""</f>
        <v/>
      </c>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row>
    <row r="293" spans="1:338" x14ac:dyDescent="0.3">
      <c r="A293" s="205" t="str">
        <f>IFERROR(IF($A292+1&gt;'(backend scoring)'!$T$335,"",$A292+1),"")</f>
        <v/>
      </c>
      <c r="B293" s="205" t="str">
        <f>_xlfn.XLOOKUP($A293,'(backend scoring)'!$V$2:$V$333,'(backend scoring)'!$A$2:$A$333,"")</f>
        <v/>
      </c>
      <c r="C293" s="205" t="str">
        <f>IFERROR(VLOOKUP($B293,'Institution Evaluation'!$A$55:$F$345,2,0),IFERROR(VLOOKUP($B293,'Privacy Analyst Evaluation'!$A$46:$F$120,2,0),""))&amp;""</f>
        <v/>
      </c>
      <c r="D293" s="205" t="str">
        <f>IFERROR(VLOOKUP($B293,'Institution Evaluation'!$A$55:$F$345,3,0),IFERROR(VLOOKUP($B293,'Privacy Analyst Evaluation'!$A$46:$F$120,3,0),""))&amp;""</f>
        <v/>
      </c>
      <c r="E293" s="205" t="str">
        <f>IFERROR(VLOOKUP($B293,'Institution Evaluation'!$A$55:$F$345,4,0),IFERROR(VLOOKUP($B293,'Privacy Analyst Evaluation'!$A$46:$F$120,4,0),""))&amp;""</f>
        <v/>
      </c>
      <c r="F293" s="205" t="str">
        <f>IFERROR(VLOOKUP($B293,'Institution Evaluation'!$A$55:$F$345,6,0),IFERROR(VLOOKUP($B293,'Privacy Analyst Evaluation'!$A$46:$F$120,6,0),""))&amp;""</f>
        <v/>
      </c>
      <c r="G293" s="206"/>
      <c r="H293" s="205" t="str">
        <f>IFERROR(IF($H292+1&gt;'(backend scoring)'!$Q$335,"",$H292+1),"")</f>
        <v/>
      </c>
      <c r="I293" s="205" t="str">
        <f>_xlfn.XLOOKUP($H293,'(backend scoring)'!$S$2:$S$333,'(backend scoring)'!$A$2:$A$333,"")</f>
        <v/>
      </c>
      <c r="J293" s="205" t="str">
        <f>IFERROR(VLOOKUP($I293,'Institution Evaluation'!$A$55:$F$345,2,0),IFERROR(VLOOKUP($I293,'Privacy Analyst Evaluation'!$A$46:$F$120,2,0),""))</f>
        <v/>
      </c>
      <c r="K293" s="205" t="str">
        <f>IFERROR(VLOOKUP($I293,'Institution Evaluation'!$A$55:$F$345,3,0),IFERROR(VLOOKUP($I293,'Privacy Analyst Evaluation'!$A$46:$F$120,3,0),""))&amp;""</f>
        <v/>
      </c>
      <c r="L293" s="205" t="str">
        <f>IFERROR(VLOOKUP($I293,'Institution Evaluation'!$A$55:$F$345,4,0),IFERROR(VLOOKUP($I293,'Privacy Analyst Evaluation'!$A$46:$F$120,4,0),""))&amp;""</f>
        <v/>
      </c>
      <c r="M293" s="205" t="str">
        <f>IFERROR(VLOOKUP($I293,'Institution Evaluation'!$A$55:$F$345,6,0),IFERROR(VLOOKUP($I293,'Privacy Analyst Evaluation'!$A$46:$F$120,6,0),""))&amp;""</f>
        <v/>
      </c>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row>
    <row r="294" spans="1:338" x14ac:dyDescent="0.3">
      <c r="A294" s="205" t="str">
        <f>IFERROR(IF($A293+1&gt;'(backend scoring)'!$T$335,"",$A293+1),"")</f>
        <v/>
      </c>
      <c r="B294" s="205" t="str">
        <f>_xlfn.XLOOKUP($A294,'(backend scoring)'!$V$2:$V$333,'(backend scoring)'!$A$2:$A$333,"")</f>
        <v/>
      </c>
      <c r="C294" s="205" t="str">
        <f>IFERROR(VLOOKUP($B294,'Institution Evaluation'!$A$55:$F$345,2,0),IFERROR(VLOOKUP($B294,'Privacy Analyst Evaluation'!$A$46:$F$120,2,0),""))&amp;""</f>
        <v/>
      </c>
      <c r="D294" s="205" t="str">
        <f>IFERROR(VLOOKUP($B294,'Institution Evaluation'!$A$55:$F$345,3,0),IFERROR(VLOOKUP($B294,'Privacy Analyst Evaluation'!$A$46:$F$120,3,0),""))&amp;""</f>
        <v/>
      </c>
      <c r="E294" s="205" t="str">
        <f>IFERROR(VLOOKUP($B294,'Institution Evaluation'!$A$55:$F$345,4,0),IFERROR(VLOOKUP($B294,'Privacy Analyst Evaluation'!$A$46:$F$120,4,0),""))&amp;""</f>
        <v/>
      </c>
      <c r="F294" s="205" t="str">
        <f>IFERROR(VLOOKUP($B294,'Institution Evaluation'!$A$55:$F$345,6,0),IFERROR(VLOOKUP($B294,'Privacy Analyst Evaluation'!$A$46:$F$120,6,0),""))&amp;""</f>
        <v/>
      </c>
      <c r="G294" s="206"/>
      <c r="H294" s="205" t="str">
        <f>IFERROR(IF($H293+1&gt;'(backend scoring)'!$Q$335,"",$H293+1),"")</f>
        <v/>
      </c>
      <c r="I294" s="205" t="str">
        <f>_xlfn.XLOOKUP($H294,'(backend scoring)'!$S$2:$S$333,'(backend scoring)'!$A$2:$A$333,"")</f>
        <v/>
      </c>
      <c r="J294" s="205" t="str">
        <f>IFERROR(VLOOKUP($I294,'Institution Evaluation'!$A$55:$F$345,2,0),IFERROR(VLOOKUP($I294,'Privacy Analyst Evaluation'!$A$46:$F$120,2,0),""))</f>
        <v/>
      </c>
      <c r="K294" s="205" t="str">
        <f>IFERROR(VLOOKUP($I294,'Institution Evaluation'!$A$55:$F$345,3,0),IFERROR(VLOOKUP($I294,'Privacy Analyst Evaluation'!$A$46:$F$120,3,0),""))&amp;""</f>
        <v/>
      </c>
      <c r="L294" s="205" t="str">
        <f>IFERROR(VLOOKUP($I294,'Institution Evaluation'!$A$55:$F$345,4,0),IFERROR(VLOOKUP($I294,'Privacy Analyst Evaluation'!$A$46:$F$120,4,0),""))&amp;""</f>
        <v/>
      </c>
      <c r="M294" s="205" t="str">
        <f>IFERROR(VLOOKUP($I294,'Institution Evaluation'!$A$55:$F$345,6,0),IFERROR(VLOOKUP($I294,'Privacy Analyst Evaluation'!$A$46:$F$120,6,0),""))&amp;""</f>
        <v/>
      </c>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row>
    <row r="295" spans="1:338" x14ac:dyDescent="0.3">
      <c r="A295" s="205" t="str">
        <f>IFERROR(IF($A294+1&gt;'(backend scoring)'!$T$335,"",$A294+1),"")</f>
        <v/>
      </c>
      <c r="B295" s="205" t="str">
        <f>_xlfn.XLOOKUP($A295,'(backend scoring)'!$V$2:$V$333,'(backend scoring)'!$A$2:$A$333,"")</f>
        <v/>
      </c>
      <c r="C295" s="205" t="str">
        <f>IFERROR(VLOOKUP($B295,'Institution Evaluation'!$A$55:$F$345,2,0),IFERROR(VLOOKUP($B295,'Privacy Analyst Evaluation'!$A$46:$F$120,2,0),""))&amp;""</f>
        <v/>
      </c>
      <c r="D295" s="205" t="str">
        <f>IFERROR(VLOOKUP($B295,'Institution Evaluation'!$A$55:$F$345,3,0),IFERROR(VLOOKUP($B295,'Privacy Analyst Evaluation'!$A$46:$F$120,3,0),""))&amp;""</f>
        <v/>
      </c>
      <c r="E295" s="205" t="str">
        <f>IFERROR(VLOOKUP($B295,'Institution Evaluation'!$A$55:$F$345,4,0),IFERROR(VLOOKUP($B295,'Privacy Analyst Evaluation'!$A$46:$F$120,4,0),""))&amp;""</f>
        <v/>
      </c>
      <c r="F295" s="205" t="str">
        <f>IFERROR(VLOOKUP($B295,'Institution Evaluation'!$A$55:$F$345,6,0),IFERROR(VLOOKUP($B295,'Privacy Analyst Evaluation'!$A$46:$F$120,6,0),""))&amp;""</f>
        <v/>
      </c>
      <c r="G295" s="206"/>
      <c r="H295" s="205" t="str">
        <f>IFERROR(IF($H294+1&gt;'(backend scoring)'!$Q$335,"",$H294+1),"")</f>
        <v/>
      </c>
      <c r="I295" s="205" t="str">
        <f>_xlfn.XLOOKUP($H295,'(backend scoring)'!$S$2:$S$333,'(backend scoring)'!$A$2:$A$333,"")</f>
        <v/>
      </c>
      <c r="J295" s="205" t="str">
        <f>IFERROR(VLOOKUP($I295,'Institution Evaluation'!$A$55:$F$345,2,0),IFERROR(VLOOKUP($I295,'Privacy Analyst Evaluation'!$A$46:$F$120,2,0),""))</f>
        <v/>
      </c>
      <c r="K295" s="205" t="str">
        <f>IFERROR(VLOOKUP($I295,'Institution Evaluation'!$A$55:$F$345,3,0),IFERROR(VLOOKUP($I295,'Privacy Analyst Evaluation'!$A$46:$F$120,3,0),""))&amp;""</f>
        <v/>
      </c>
      <c r="L295" s="205" t="str">
        <f>IFERROR(VLOOKUP($I295,'Institution Evaluation'!$A$55:$F$345,4,0),IFERROR(VLOOKUP($I295,'Privacy Analyst Evaluation'!$A$46:$F$120,4,0),""))&amp;""</f>
        <v/>
      </c>
      <c r="M295" s="205" t="str">
        <f>IFERROR(VLOOKUP($I295,'Institution Evaluation'!$A$55:$F$345,6,0),IFERROR(VLOOKUP($I295,'Privacy Analyst Evaluation'!$A$46:$F$120,6,0),""))&amp;""</f>
        <v/>
      </c>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row>
    <row r="296" spans="1:338" x14ac:dyDescent="0.3">
      <c r="A296" s="205" t="str">
        <f>IFERROR(IF($A295+1&gt;'(backend scoring)'!$T$335,"",$A295+1),"")</f>
        <v/>
      </c>
      <c r="B296" s="205" t="str">
        <f>_xlfn.XLOOKUP($A296,'(backend scoring)'!$V$2:$V$333,'(backend scoring)'!$A$2:$A$333,"")</f>
        <v/>
      </c>
      <c r="C296" s="205" t="str">
        <f>IFERROR(VLOOKUP($B296,'Institution Evaluation'!$A$55:$F$345,2,0),IFERROR(VLOOKUP($B296,'Privacy Analyst Evaluation'!$A$46:$F$120,2,0),""))&amp;""</f>
        <v/>
      </c>
      <c r="D296" s="205" t="str">
        <f>IFERROR(VLOOKUP($B296,'Institution Evaluation'!$A$55:$F$345,3,0),IFERROR(VLOOKUP($B296,'Privacy Analyst Evaluation'!$A$46:$F$120,3,0),""))&amp;""</f>
        <v/>
      </c>
      <c r="E296" s="205" t="str">
        <f>IFERROR(VLOOKUP($B296,'Institution Evaluation'!$A$55:$F$345,4,0),IFERROR(VLOOKUP($B296,'Privacy Analyst Evaluation'!$A$46:$F$120,4,0),""))&amp;""</f>
        <v/>
      </c>
      <c r="F296" s="205" t="str">
        <f>IFERROR(VLOOKUP($B296,'Institution Evaluation'!$A$55:$F$345,6,0),IFERROR(VLOOKUP($B296,'Privacy Analyst Evaluation'!$A$46:$F$120,6,0),""))&amp;""</f>
        <v/>
      </c>
      <c r="G296" s="206"/>
      <c r="H296" s="205" t="str">
        <f>IFERROR(IF($H295+1&gt;'(backend scoring)'!$Q$335,"",$H295+1),"")</f>
        <v/>
      </c>
      <c r="I296" s="205" t="str">
        <f>_xlfn.XLOOKUP($H296,'(backend scoring)'!$S$2:$S$333,'(backend scoring)'!$A$2:$A$333,"")</f>
        <v/>
      </c>
      <c r="J296" s="205" t="str">
        <f>IFERROR(VLOOKUP($I296,'Institution Evaluation'!$A$55:$F$345,2,0),IFERROR(VLOOKUP($I296,'Privacy Analyst Evaluation'!$A$46:$F$120,2,0),""))</f>
        <v/>
      </c>
      <c r="K296" s="205" t="str">
        <f>IFERROR(VLOOKUP($I296,'Institution Evaluation'!$A$55:$F$345,3,0),IFERROR(VLOOKUP($I296,'Privacy Analyst Evaluation'!$A$46:$F$120,3,0),""))&amp;""</f>
        <v/>
      </c>
      <c r="L296" s="205" t="str">
        <f>IFERROR(VLOOKUP($I296,'Institution Evaluation'!$A$55:$F$345,4,0),IFERROR(VLOOKUP($I296,'Privacy Analyst Evaluation'!$A$46:$F$120,4,0),""))&amp;""</f>
        <v/>
      </c>
      <c r="M296" s="205" t="str">
        <f>IFERROR(VLOOKUP($I296,'Institution Evaluation'!$A$55:$F$345,6,0),IFERROR(VLOOKUP($I296,'Privacy Analyst Evaluation'!$A$46:$F$120,6,0),""))&amp;""</f>
        <v/>
      </c>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row>
    <row r="297" spans="1:338" x14ac:dyDescent="0.3">
      <c r="A297" s="205" t="str">
        <f>IFERROR(IF($A296+1&gt;'(backend scoring)'!$T$335,"",$A296+1),"")</f>
        <v/>
      </c>
      <c r="B297" s="205" t="str">
        <f>_xlfn.XLOOKUP($A297,'(backend scoring)'!$V$2:$V$333,'(backend scoring)'!$A$2:$A$333,"")</f>
        <v/>
      </c>
      <c r="C297" s="205" t="str">
        <f>IFERROR(VLOOKUP($B297,'Institution Evaluation'!$A$55:$F$345,2,0),IFERROR(VLOOKUP($B297,'Privacy Analyst Evaluation'!$A$46:$F$120,2,0),""))&amp;""</f>
        <v/>
      </c>
      <c r="D297" s="205" t="str">
        <f>IFERROR(VLOOKUP($B297,'Institution Evaluation'!$A$55:$F$345,3,0),IFERROR(VLOOKUP($B297,'Privacy Analyst Evaluation'!$A$46:$F$120,3,0),""))&amp;""</f>
        <v/>
      </c>
      <c r="E297" s="205" t="str">
        <f>IFERROR(VLOOKUP($B297,'Institution Evaluation'!$A$55:$F$345,4,0),IFERROR(VLOOKUP($B297,'Privacy Analyst Evaluation'!$A$46:$F$120,4,0),""))&amp;""</f>
        <v/>
      </c>
      <c r="F297" s="205" t="str">
        <f>IFERROR(VLOOKUP($B297,'Institution Evaluation'!$A$55:$F$345,6,0),IFERROR(VLOOKUP($B297,'Privacy Analyst Evaluation'!$A$46:$F$120,6,0),""))&amp;""</f>
        <v/>
      </c>
      <c r="G297" s="206"/>
      <c r="H297" s="205" t="str">
        <f>IFERROR(IF($H296+1&gt;'(backend scoring)'!$Q$335,"",$H296+1),"")</f>
        <v/>
      </c>
      <c r="I297" s="205" t="str">
        <f>_xlfn.XLOOKUP($H297,'(backend scoring)'!$S$2:$S$333,'(backend scoring)'!$A$2:$A$333,"")</f>
        <v/>
      </c>
      <c r="J297" s="205" t="str">
        <f>IFERROR(VLOOKUP($I297,'Institution Evaluation'!$A$55:$F$345,2,0),IFERROR(VLOOKUP($I297,'Privacy Analyst Evaluation'!$A$46:$F$120,2,0),""))</f>
        <v/>
      </c>
      <c r="K297" s="205" t="str">
        <f>IFERROR(VLOOKUP($I297,'Institution Evaluation'!$A$55:$F$345,3,0),IFERROR(VLOOKUP($I297,'Privacy Analyst Evaluation'!$A$46:$F$120,3,0),""))&amp;""</f>
        <v/>
      </c>
      <c r="L297" s="205" t="str">
        <f>IFERROR(VLOOKUP($I297,'Institution Evaluation'!$A$55:$F$345,4,0),IFERROR(VLOOKUP($I297,'Privacy Analyst Evaluation'!$A$46:$F$120,4,0),""))&amp;""</f>
        <v/>
      </c>
      <c r="M297" s="205" t="str">
        <f>IFERROR(VLOOKUP($I297,'Institution Evaluation'!$A$55:$F$345,6,0),IFERROR(VLOOKUP($I297,'Privacy Analyst Evaluation'!$A$46:$F$120,6,0),""))&amp;""</f>
        <v/>
      </c>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row>
    <row r="298" spans="1:338" x14ac:dyDescent="0.3">
      <c r="A298" s="205" t="str">
        <f>IFERROR(IF($A297+1&gt;'(backend scoring)'!$T$335,"",$A297+1),"")</f>
        <v/>
      </c>
      <c r="B298" s="205" t="str">
        <f>_xlfn.XLOOKUP($A298,'(backend scoring)'!$V$2:$V$333,'(backend scoring)'!$A$2:$A$333,"")</f>
        <v/>
      </c>
      <c r="C298" s="205" t="str">
        <f>IFERROR(VLOOKUP($B298,'Institution Evaluation'!$A$55:$F$345,2,0),IFERROR(VLOOKUP($B298,'Privacy Analyst Evaluation'!$A$46:$F$120,2,0),""))&amp;""</f>
        <v/>
      </c>
      <c r="D298" s="205" t="str">
        <f>IFERROR(VLOOKUP($B298,'Institution Evaluation'!$A$55:$F$345,3,0),IFERROR(VLOOKUP($B298,'Privacy Analyst Evaluation'!$A$46:$F$120,3,0),""))&amp;""</f>
        <v/>
      </c>
      <c r="E298" s="205" t="str">
        <f>IFERROR(VLOOKUP($B298,'Institution Evaluation'!$A$55:$F$345,4,0),IFERROR(VLOOKUP($B298,'Privacy Analyst Evaluation'!$A$46:$F$120,4,0),""))&amp;""</f>
        <v/>
      </c>
      <c r="F298" s="205" t="str">
        <f>IFERROR(VLOOKUP($B298,'Institution Evaluation'!$A$55:$F$345,6,0),IFERROR(VLOOKUP($B298,'Privacy Analyst Evaluation'!$A$46:$F$120,6,0),""))&amp;""</f>
        <v/>
      </c>
      <c r="G298" s="206"/>
      <c r="H298" s="205" t="str">
        <f>IFERROR(IF($H297+1&gt;'(backend scoring)'!$Q$335,"",$H297+1),"")</f>
        <v/>
      </c>
      <c r="I298" s="205" t="str">
        <f>_xlfn.XLOOKUP($H298,'(backend scoring)'!$S$2:$S$333,'(backend scoring)'!$A$2:$A$333,"")</f>
        <v/>
      </c>
      <c r="J298" s="205" t="str">
        <f>IFERROR(VLOOKUP($I298,'Institution Evaluation'!$A$55:$F$345,2,0),IFERROR(VLOOKUP($I298,'Privacy Analyst Evaluation'!$A$46:$F$120,2,0),""))</f>
        <v/>
      </c>
      <c r="K298" s="205" t="str">
        <f>IFERROR(VLOOKUP($I298,'Institution Evaluation'!$A$55:$F$345,3,0),IFERROR(VLOOKUP($I298,'Privacy Analyst Evaluation'!$A$46:$F$120,3,0),""))&amp;""</f>
        <v/>
      </c>
      <c r="L298" s="205" t="str">
        <f>IFERROR(VLOOKUP($I298,'Institution Evaluation'!$A$55:$F$345,4,0),IFERROR(VLOOKUP($I298,'Privacy Analyst Evaluation'!$A$46:$F$120,4,0),""))&amp;""</f>
        <v/>
      </c>
      <c r="M298" s="205" t="str">
        <f>IFERROR(VLOOKUP($I298,'Institution Evaluation'!$A$55:$F$345,6,0),IFERROR(VLOOKUP($I298,'Privacy Analyst Evaluation'!$A$46:$F$120,6,0),""))&amp;""</f>
        <v/>
      </c>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row>
    <row r="299" spans="1:338" x14ac:dyDescent="0.3">
      <c r="A299" s="205" t="str">
        <f>IFERROR(IF($A298+1&gt;'(backend scoring)'!$T$335,"",$A298+1),"")</f>
        <v/>
      </c>
      <c r="B299" s="205" t="str">
        <f>_xlfn.XLOOKUP($A299,'(backend scoring)'!$V$2:$V$333,'(backend scoring)'!$A$2:$A$333,"")</f>
        <v/>
      </c>
      <c r="C299" s="205" t="str">
        <f>IFERROR(VLOOKUP($B299,'Institution Evaluation'!$A$55:$F$345,2,0),IFERROR(VLOOKUP($B299,'Privacy Analyst Evaluation'!$A$46:$F$120,2,0),""))&amp;""</f>
        <v/>
      </c>
      <c r="D299" s="205" t="str">
        <f>IFERROR(VLOOKUP($B299,'Institution Evaluation'!$A$55:$F$345,3,0),IFERROR(VLOOKUP($B299,'Privacy Analyst Evaluation'!$A$46:$F$120,3,0),""))&amp;""</f>
        <v/>
      </c>
      <c r="E299" s="205" t="str">
        <f>IFERROR(VLOOKUP($B299,'Institution Evaluation'!$A$55:$F$345,4,0),IFERROR(VLOOKUP($B299,'Privacy Analyst Evaluation'!$A$46:$F$120,4,0),""))&amp;""</f>
        <v/>
      </c>
      <c r="F299" s="205" t="str">
        <f>IFERROR(VLOOKUP($B299,'Institution Evaluation'!$A$55:$F$345,6,0),IFERROR(VLOOKUP($B299,'Privacy Analyst Evaluation'!$A$46:$F$120,6,0),""))&amp;""</f>
        <v/>
      </c>
      <c r="G299" s="206"/>
      <c r="H299" s="205" t="str">
        <f>IFERROR(IF($H298+1&gt;'(backend scoring)'!$Q$335,"",$H298+1),"")</f>
        <v/>
      </c>
      <c r="I299" s="205" t="str">
        <f>_xlfn.XLOOKUP($H299,'(backend scoring)'!$S$2:$S$333,'(backend scoring)'!$A$2:$A$333,"")</f>
        <v/>
      </c>
      <c r="J299" s="205" t="str">
        <f>IFERROR(VLOOKUP($I299,'Institution Evaluation'!$A$55:$F$345,2,0),IFERROR(VLOOKUP($I299,'Privacy Analyst Evaluation'!$A$46:$F$120,2,0),""))</f>
        <v/>
      </c>
      <c r="K299" s="205" t="str">
        <f>IFERROR(VLOOKUP($I299,'Institution Evaluation'!$A$55:$F$345,3,0),IFERROR(VLOOKUP($I299,'Privacy Analyst Evaluation'!$A$46:$F$120,3,0),""))&amp;""</f>
        <v/>
      </c>
      <c r="L299" s="205" t="str">
        <f>IFERROR(VLOOKUP($I299,'Institution Evaluation'!$A$55:$F$345,4,0),IFERROR(VLOOKUP($I299,'Privacy Analyst Evaluation'!$A$46:$F$120,4,0),""))&amp;""</f>
        <v/>
      </c>
      <c r="M299" s="205" t="str">
        <f>IFERROR(VLOOKUP($I299,'Institution Evaluation'!$A$55:$F$345,6,0),IFERROR(VLOOKUP($I299,'Privacy Analyst Evaluation'!$A$46:$F$120,6,0),""))&amp;""</f>
        <v/>
      </c>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row>
    <row r="300" spans="1:338" x14ac:dyDescent="0.3">
      <c r="A300" s="205" t="str">
        <f>IFERROR(IF($A299+1&gt;'(backend scoring)'!$T$335,"",$A299+1),"")</f>
        <v/>
      </c>
      <c r="B300" s="205" t="str">
        <f>_xlfn.XLOOKUP($A300,'(backend scoring)'!$V$2:$V$333,'(backend scoring)'!$A$2:$A$333,"")</f>
        <v/>
      </c>
      <c r="C300" s="205" t="str">
        <f>IFERROR(VLOOKUP($B300,'Institution Evaluation'!$A$55:$F$345,2,0),IFERROR(VLOOKUP($B300,'Privacy Analyst Evaluation'!$A$46:$F$120,2,0),""))&amp;""</f>
        <v/>
      </c>
      <c r="D300" s="205" t="str">
        <f>IFERROR(VLOOKUP($B300,'Institution Evaluation'!$A$55:$F$345,3,0),IFERROR(VLOOKUP($B300,'Privacy Analyst Evaluation'!$A$46:$F$120,3,0),""))&amp;""</f>
        <v/>
      </c>
      <c r="E300" s="205" t="str">
        <f>IFERROR(VLOOKUP($B300,'Institution Evaluation'!$A$55:$F$345,4,0),IFERROR(VLOOKUP($B300,'Privacy Analyst Evaluation'!$A$46:$F$120,4,0),""))&amp;""</f>
        <v/>
      </c>
      <c r="F300" s="205" t="str">
        <f>IFERROR(VLOOKUP($B300,'Institution Evaluation'!$A$55:$F$345,6,0),IFERROR(VLOOKUP($B300,'Privacy Analyst Evaluation'!$A$46:$F$120,6,0),""))&amp;""</f>
        <v/>
      </c>
      <c r="G300" s="206"/>
      <c r="H300" s="205" t="str">
        <f>IFERROR(IF($H299+1&gt;'(backend scoring)'!$Q$335,"",$H299+1),"")</f>
        <v/>
      </c>
      <c r="I300" s="205" t="str">
        <f>_xlfn.XLOOKUP($H300,'(backend scoring)'!$S$2:$S$333,'(backend scoring)'!$A$2:$A$333,"")</f>
        <v/>
      </c>
      <c r="J300" s="205" t="str">
        <f>IFERROR(VLOOKUP($I300,'Institution Evaluation'!$A$55:$F$345,2,0),IFERROR(VLOOKUP($I300,'Privacy Analyst Evaluation'!$A$46:$F$120,2,0),""))</f>
        <v/>
      </c>
      <c r="K300" s="205" t="str">
        <f>IFERROR(VLOOKUP($I300,'Institution Evaluation'!$A$55:$F$345,3,0),IFERROR(VLOOKUP($I300,'Privacy Analyst Evaluation'!$A$46:$F$120,3,0),""))&amp;""</f>
        <v/>
      </c>
      <c r="L300" s="205" t="str">
        <f>IFERROR(VLOOKUP($I300,'Institution Evaluation'!$A$55:$F$345,4,0),IFERROR(VLOOKUP($I300,'Privacy Analyst Evaluation'!$A$46:$F$120,4,0),""))&amp;""</f>
        <v/>
      </c>
      <c r="M300" s="205" t="str">
        <f>IFERROR(VLOOKUP($I300,'Institution Evaluation'!$A$55:$F$345,6,0),IFERROR(VLOOKUP($I300,'Privacy Analyst Evaluation'!$A$46:$F$120,6,0),""))&amp;""</f>
        <v/>
      </c>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row>
    <row r="301" spans="1:338" x14ac:dyDescent="0.3">
      <c r="A301" s="205" t="str">
        <f>IFERROR(IF($A300+1&gt;'(backend scoring)'!$T$335,"",$A300+1),"")</f>
        <v/>
      </c>
      <c r="B301" s="205" t="str">
        <f>_xlfn.XLOOKUP($A301,'(backend scoring)'!$V$2:$V$333,'(backend scoring)'!$A$2:$A$333,"")</f>
        <v/>
      </c>
      <c r="C301" s="205" t="str">
        <f>IFERROR(VLOOKUP($B301,'Institution Evaluation'!$A$55:$F$345,2,0),IFERROR(VLOOKUP($B301,'Privacy Analyst Evaluation'!$A$46:$F$120,2,0),""))&amp;""</f>
        <v/>
      </c>
      <c r="D301" s="205" t="str">
        <f>IFERROR(VLOOKUP($B301,'Institution Evaluation'!$A$55:$F$345,3,0),IFERROR(VLOOKUP($B301,'Privacy Analyst Evaluation'!$A$46:$F$120,3,0),""))&amp;""</f>
        <v/>
      </c>
      <c r="E301" s="205" t="str">
        <f>IFERROR(VLOOKUP($B301,'Institution Evaluation'!$A$55:$F$345,4,0),IFERROR(VLOOKUP($B301,'Privacy Analyst Evaluation'!$A$46:$F$120,4,0),""))&amp;""</f>
        <v/>
      </c>
      <c r="F301" s="205" t="str">
        <f>IFERROR(VLOOKUP($B301,'Institution Evaluation'!$A$55:$F$345,6,0),IFERROR(VLOOKUP($B301,'Privacy Analyst Evaluation'!$A$46:$F$120,6,0),""))&amp;""</f>
        <v/>
      </c>
      <c r="G301" s="206"/>
      <c r="H301" s="205" t="str">
        <f>IFERROR(IF($H300+1&gt;'(backend scoring)'!$Q$335,"",$H300+1),"")</f>
        <v/>
      </c>
      <c r="I301" s="205" t="str">
        <f>_xlfn.XLOOKUP($H301,'(backend scoring)'!$S$2:$S$333,'(backend scoring)'!$A$2:$A$333,"")</f>
        <v/>
      </c>
      <c r="J301" s="205" t="str">
        <f>IFERROR(VLOOKUP($I301,'Institution Evaluation'!$A$55:$F$345,2,0),IFERROR(VLOOKUP($I301,'Privacy Analyst Evaluation'!$A$46:$F$120,2,0),""))</f>
        <v/>
      </c>
      <c r="K301" s="205" t="str">
        <f>IFERROR(VLOOKUP($I301,'Institution Evaluation'!$A$55:$F$345,3,0),IFERROR(VLOOKUP($I301,'Privacy Analyst Evaluation'!$A$46:$F$120,3,0),""))&amp;""</f>
        <v/>
      </c>
      <c r="L301" s="205" t="str">
        <f>IFERROR(VLOOKUP($I301,'Institution Evaluation'!$A$55:$F$345,4,0),IFERROR(VLOOKUP($I301,'Privacy Analyst Evaluation'!$A$46:$F$120,4,0),""))&amp;""</f>
        <v/>
      </c>
      <c r="M301" s="205" t="str">
        <f>IFERROR(VLOOKUP($I301,'Institution Evaluation'!$A$55:$F$345,6,0),IFERROR(VLOOKUP($I301,'Privacy Analyst Evaluation'!$A$46:$F$120,6,0),""))&amp;""</f>
        <v/>
      </c>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row>
    <row r="302" spans="1:338" x14ac:dyDescent="0.3">
      <c r="A302" s="205" t="str">
        <f>IFERROR(IF($A301+1&gt;'(backend scoring)'!$T$335,"",$A301+1),"")</f>
        <v/>
      </c>
      <c r="B302" s="205" t="str">
        <f>_xlfn.XLOOKUP($A302,'(backend scoring)'!$V$2:$V$333,'(backend scoring)'!$A$2:$A$333,"")</f>
        <v/>
      </c>
      <c r="C302" s="205" t="str">
        <f>IFERROR(VLOOKUP($B302,'Institution Evaluation'!$A$55:$F$345,2,0),IFERROR(VLOOKUP($B302,'Privacy Analyst Evaluation'!$A$46:$F$120,2,0),""))&amp;""</f>
        <v/>
      </c>
      <c r="D302" s="205" t="str">
        <f>IFERROR(VLOOKUP($B302,'Institution Evaluation'!$A$55:$F$345,3,0),IFERROR(VLOOKUP($B302,'Privacy Analyst Evaluation'!$A$46:$F$120,3,0),""))&amp;""</f>
        <v/>
      </c>
      <c r="E302" s="205" t="str">
        <f>IFERROR(VLOOKUP($B302,'Institution Evaluation'!$A$55:$F$345,4,0),IFERROR(VLOOKUP($B302,'Privacy Analyst Evaluation'!$A$46:$F$120,4,0),""))&amp;""</f>
        <v/>
      </c>
      <c r="F302" s="205" t="str">
        <f>IFERROR(VLOOKUP($B302,'Institution Evaluation'!$A$55:$F$345,6,0),IFERROR(VLOOKUP($B302,'Privacy Analyst Evaluation'!$A$46:$F$120,6,0),""))&amp;""</f>
        <v/>
      </c>
      <c r="G302" s="206"/>
      <c r="H302" s="205" t="str">
        <f>IFERROR(IF($H301+1&gt;'(backend scoring)'!$Q$335,"",$H301+1),"")</f>
        <v/>
      </c>
      <c r="I302" s="205" t="str">
        <f>_xlfn.XLOOKUP($H302,'(backend scoring)'!$S$2:$S$333,'(backend scoring)'!$A$2:$A$333,"")</f>
        <v/>
      </c>
      <c r="J302" s="205" t="str">
        <f>IFERROR(VLOOKUP($I302,'Institution Evaluation'!$A$55:$F$345,2,0),IFERROR(VLOOKUP($I302,'Privacy Analyst Evaluation'!$A$46:$F$120,2,0),""))</f>
        <v/>
      </c>
      <c r="K302" s="205" t="str">
        <f>IFERROR(VLOOKUP($I302,'Institution Evaluation'!$A$55:$F$345,3,0),IFERROR(VLOOKUP($I302,'Privacy Analyst Evaluation'!$A$46:$F$120,3,0),""))&amp;""</f>
        <v/>
      </c>
      <c r="L302" s="205" t="str">
        <f>IFERROR(VLOOKUP($I302,'Institution Evaluation'!$A$55:$F$345,4,0),IFERROR(VLOOKUP($I302,'Privacy Analyst Evaluation'!$A$46:$F$120,4,0),""))&amp;""</f>
        <v/>
      </c>
      <c r="M302" s="205" t="str">
        <f>IFERROR(VLOOKUP($I302,'Institution Evaluation'!$A$55:$F$345,6,0),IFERROR(VLOOKUP($I302,'Privacy Analyst Evaluation'!$A$46:$F$120,6,0),""))&amp;""</f>
        <v/>
      </c>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row>
    <row r="303" spans="1:338" x14ac:dyDescent="0.3">
      <c r="A303" s="205" t="str">
        <f>IFERROR(IF($A302+1&gt;'(backend scoring)'!$T$335,"",$A302+1),"")</f>
        <v/>
      </c>
      <c r="B303" s="205" t="str">
        <f>_xlfn.XLOOKUP($A303,'(backend scoring)'!$V$2:$V$333,'(backend scoring)'!$A$2:$A$333,"")</f>
        <v/>
      </c>
      <c r="C303" s="205" t="str">
        <f>IFERROR(VLOOKUP($B303,'Institution Evaluation'!$A$55:$F$345,2,0),IFERROR(VLOOKUP($B303,'Privacy Analyst Evaluation'!$A$46:$F$120,2,0),""))&amp;""</f>
        <v/>
      </c>
      <c r="D303" s="205" t="str">
        <f>IFERROR(VLOOKUP($B303,'Institution Evaluation'!$A$55:$F$345,3,0),IFERROR(VLOOKUP($B303,'Privacy Analyst Evaluation'!$A$46:$F$120,3,0),""))&amp;""</f>
        <v/>
      </c>
      <c r="E303" s="205" t="str">
        <f>IFERROR(VLOOKUP($B303,'Institution Evaluation'!$A$55:$F$345,4,0),IFERROR(VLOOKUP($B303,'Privacy Analyst Evaluation'!$A$46:$F$120,4,0),""))&amp;""</f>
        <v/>
      </c>
      <c r="F303" s="205" t="str">
        <f>IFERROR(VLOOKUP($B303,'Institution Evaluation'!$A$55:$F$345,6,0),IFERROR(VLOOKUP($B303,'Privacy Analyst Evaluation'!$A$46:$F$120,6,0),""))&amp;""</f>
        <v/>
      </c>
      <c r="G303" s="206"/>
      <c r="H303" s="205" t="str">
        <f>IFERROR(IF($H302+1&gt;'(backend scoring)'!$Q$335,"",$H302+1),"")</f>
        <v/>
      </c>
      <c r="I303" s="205" t="str">
        <f>_xlfn.XLOOKUP($H303,'(backend scoring)'!$S$2:$S$333,'(backend scoring)'!$A$2:$A$333,"")</f>
        <v/>
      </c>
      <c r="J303" s="205" t="str">
        <f>IFERROR(VLOOKUP($I303,'Institution Evaluation'!$A$55:$F$345,2,0),IFERROR(VLOOKUP($I303,'Privacy Analyst Evaluation'!$A$46:$F$120,2,0),""))</f>
        <v/>
      </c>
      <c r="K303" s="205" t="str">
        <f>IFERROR(VLOOKUP($I303,'Institution Evaluation'!$A$55:$F$345,3,0),IFERROR(VLOOKUP($I303,'Privacy Analyst Evaluation'!$A$46:$F$120,3,0),""))&amp;""</f>
        <v/>
      </c>
      <c r="L303" s="205" t="str">
        <f>IFERROR(VLOOKUP($I303,'Institution Evaluation'!$A$55:$F$345,4,0),IFERROR(VLOOKUP($I303,'Privacy Analyst Evaluation'!$A$46:$F$120,4,0),""))&amp;""</f>
        <v/>
      </c>
      <c r="M303" s="205" t="str">
        <f>IFERROR(VLOOKUP($I303,'Institution Evaluation'!$A$55:$F$345,6,0),IFERROR(VLOOKUP($I303,'Privacy Analyst Evaluation'!$A$46:$F$120,6,0),""))&amp;""</f>
        <v/>
      </c>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row>
    <row r="304" spans="1:338" x14ac:dyDescent="0.3">
      <c r="A304" s="205" t="str">
        <f>IFERROR(IF($A303+1&gt;'(backend scoring)'!$T$335,"",$A303+1),"")</f>
        <v/>
      </c>
      <c r="B304" s="205" t="str">
        <f>_xlfn.XLOOKUP($A304,'(backend scoring)'!$V$2:$V$333,'(backend scoring)'!$A$2:$A$333,"")</f>
        <v/>
      </c>
      <c r="C304" s="205" t="str">
        <f>IFERROR(VLOOKUP($B304,'Institution Evaluation'!$A$55:$F$345,2,0),IFERROR(VLOOKUP($B304,'Privacy Analyst Evaluation'!$A$46:$F$120,2,0),""))&amp;""</f>
        <v/>
      </c>
      <c r="D304" s="205" t="str">
        <f>IFERROR(VLOOKUP($B304,'Institution Evaluation'!$A$55:$F$345,3,0),IFERROR(VLOOKUP($B304,'Privacy Analyst Evaluation'!$A$46:$F$120,3,0),""))&amp;""</f>
        <v/>
      </c>
      <c r="E304" s="205" t="str">
        <f>IFERROR(VLOOKUP($B304,'Institution Evaluation'!$A$55:$F$345,4,0),IFERROR(VLOOKUP($B304,'Privacy Analyst Evaluation'!$A$46:$F$120,4,0),""))&amp;""</f>
        <v/>
      </c>
      <c r="F304" s="205" t="str">
        <f>IFERROR(VLOOKUP($B304,'Institution Evaluation'!$A$55:$F$345,6,0),IFERROR(VLOOKUP($B304,'Privacy Analyst Evaluation'!$A$46:$F$120,6,0),""))&amp;""</f>
        <v/>
      </c>
      <c r="G304" s="206"/>
      <c r="H304" s="205" t="str">
        <f>IFERROR(IF($H303+1&gt;'(backend scoring)'!$Q$335,"",$H303+1),"")</f>
        <v/>
      </c>
      <c r="I304" s="205" t="str">
        <f>_xlfn.XLOOKUP($H304,'(backend scoring)'!$S$2:$S$333,'(backend scoring)'!$A$2:$A$333,"")</f>
        <v/>
      </c>
      <c r="J304" s="205" t="str">
        <f>IFERROR(VLOOKUP($I304,'Institution Evaluation'!$A$55:$F$345,2,0),IFERROR(VLOOKUP($I304,'Privacy Analyst Evaluation'!$A$46:$F$120,2,0),""))</f>
        <v/>
      </c>
      <c r="K304" s="205" t="str">
        <f>IFERROR(VLOOKUP($I304,'Institution Evaluation'!$A$55:$F$345,3,0),IFERROR(VLOOKUP($I304,'Privacy Analyst Evaluation'!$A$46:$F$120,3,0),""))&amp;""</f>
        <v/>
      </c>
      <c r="L304" s="205" t="str">
        <f>IFERROR(VLOOKUP($I304,'Institution Evaluation'!$A$55:$F$345,4,0),IFERROR(VLOOKUP($I304,'Privacy Analyst Evaluation'!$A$46:$F$120,4,0),""))&amp;""</f>
        <v/>
      </c>
      <c r="M304" s="205" t="str">
        <f>IFERROR(VLOOKUP($I304,'Institution Evaluation'!$A$55:$F$345,6,0),IFERROR(VLOOKUP($I304,'Privacy Analyst Evaluation'!$A$46:$F$120,6,0),""))&amp;""</f>
        <v/>
      </c>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row>
    <row r="305" spans="1:338" x14ac:dyDescent="0.3">
      <c r="A305" s="205" t="str">
        <f>IFERROR(IF($A304+1&gt;'(backend scoring)'!$T$335,"",$A304+1),"")</f>
        <v/>
      </c>
      <c r="B305" s="205" t="str">
        <f>_xlfn.XLOOKUP($A305,'(backend scoring)'!$V$2:$V$333,'(backend scoring)'!$A$2:$A$333,"")</f>
        <v/>
      </c>
      <c r="C305" s="205" t="str">
        <f>IFERROR(VLOOKUP($B305,'Institution Evaluation'!$A$55:$F$345,2,0),IFERROR(VLOOKUP($B305,'Privacy Analyst Evaluation'!$A$46:$F$120,2,0),""))&amp;""</f>
        <v/>
      </c>
      <c r="D305" s="205" t="str">
        <f>IFERROR(VLOOKUP($B305,'Institution Evaluation'!$A$55:$F$345,3,0),IFERROR(VLOOKUP($B305,'Privacy Analyst Evaluation'!$A$46:$F$120,3,0),""))&amp;""</f>
        <v/>
      </c>
      <c r="E305" s="205" t="str">
        <f>IFERROR(VLOOKUP($B305,'Institution Evaluation'!$A$55:$F$345,4,0),IFERROR(VLOOKUP($B305,'Privacy Analyst Evaluation'!$A$46:$F$120,4,0),""))&amp;""</f>
        <v/>
      </c>
      <c r="F305" s="205" t="str">
        <f>IFERROR(VLOOKUP($B305,'Institution Evaluation'!$A$55:$F$345,6,0),IFERROR(VLOOKUP($B305,'Privacy Analyst Evaluation'!$A$46:$F$120,6,0),""))&amp;""</f>
        <v/>
      </c>
      <c r="G305" s="206"/>
      <c r="H305" s="205" t="str">
        <f>IFERROR(IF($H304+1&gt;'(backend scoring)'!$Q$335,"",$H304+1),"")</f>
        <v/>
      </c>
      <c r="I305" s="205" t="str">
        <f>_xlfn.XLOOKUP($H305,'(backend scoring)'!$S$2:$S$333,'(backend scoring)'!$A$2:$A$333,"")</f>
        <v/>
      </c>
      <c r="J305" s="205" t="str">
        <f>IFERROR(VLOOKUP($I305,'Institution Evaluation'!$A$55:$F$345,2,0),IFERROR(VLOOKUP($I305,'Privacy Analyst Evaluation'!$A$46:$F$120,2,0),""))</f>
        <v/>
      </c>
      <c r="K305" s="205" t="str">
        <f>IFERROR(VLOOKUP($I305,'Institution Evaluation'!$A$55:$F$345,3,0),IFERROR(VLOOKUP($I305,'Privacy Analyst Evaluation'!$A$46:$F$120,3,0),""))&amp;""</f>
        <v/>
      </c>
      <c r="L305" s="205" t="str">
        <f>IFERROR(VLOOKUP($I305,'Institution Evaluation'!$A$55:$F$345,4,0),IFERROR(VLOOKUP($I305,'Privacy Analyst Evaluation'!$A$46:$F$120,4,0),""))&amp;""</f>
        <v/>
      </c>
      <c r="M305" s="205" t="str">
        <f>IFERROR(VLOOKUP($I305,'Institution Evaluation'!$A$55:$F$345,6,0),IFERROR(VLOOKUP($I305,'Privacy Analyst Evaluation'!$A$46:$F$120,6,0),""))&amp;""</f>
        <v/>
      </c>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row>
    <row r="306" spans="1:338" x14ac:dyDescent="0.3">
      <c r="A306" s="205" t="str">
        <f>IFERROR(IF($A305+1&gt;'(backend scoring)'!$T$335,"",$A305+1),"")</f>
        <v/>
      </c>
      <c r="B306" s="205" t="str">
        <f>_xlfn.XLOOKUP($A306,'(backend scoring)'!$V$2:$V$333,'(backend scoring)'!$A$2:$A$333,"")</f>
        <v/>
      </c>
      <c r="C306" s="205" t="str">
        <f>IFERROR(VLOOKUP($B306,'Institution Evaluation'!$A$55:$F$345,2,0),IFERROR(VLOOKUP($B306,'Privacy Analyst Evaluation'!$A$46:$F$120,2,0),""))&amp;""</f>
        <v/>
      </c>
      <c r="D306" s="205" t="str">
        <f>IFERROR(VLOOKUP($B306,'Institution Evaluation'!$A$55:$F$345,3,0),IFERROR(VLOOKUP($B306,'Privacy Analyst Evaluation'!$A$46:$F$120,3,0),""))&amp;""</f>
        <v/>
      </c>
      <c r="E306" s="205" t="str">
        <f>IFERROR(VLOOKUP($B306,'Institution Evaluation'!$A$55:$F$345,4,0),IFERROR(VLOOKUP($B306,'Privacy Analyst Evaluation'!$A$46:$F$120,4,0),""))&amp;""</f>
        <v/>
      </c>
      <c r="F306" s="205" t="str">
        <f>IFERROR(VLOOKUP($B306,'Institution Evaluation'!$A$55:$F$345,6,0),IFERROR(VLOOKUP($B306,'Privacy Analyst Evaluation'!$A$46:$F$120,6,0),""))&amp;""</f>
        <v/>
      </c>
      <c r="G306" s="206"/>
      <c r="H306" s="205" t="str">
        <f>IFERROR(IF($H305+1&gt;'(backend scoring)'!$Q$335,"",$H305+1),"")</f>
        <v/>
      </c>
      <c r="I306" s="205" t="str">
        <f>_xlfn.XLOOKUP($H306,'(backend scoring)'!$S$2:$S$333,'(backend scoring)'!$A$2:$A$333,"")</f>
        <v/>
      </c>
      <c r="J306" s="205" t="str">
        <f>IFERROR(VLOOKUP($I306,'Institution Evaluation'!$A$55:$F$345,2,0),IFERROR(VLOOKUP($I306,'Privacy Analyst Evaluation'!$A$46:$F$120,2,0),""))</f>
        <v/>
      </c>
      <c r="K306" s="205" t="str">
        <f>IFERROR(VLOOKUP($I306,'Institution Evaluation'!$A$55:$F$345,3,0),IFERROR(VLOOKUP($I306,'Privacy Analyst Evaluation'!$A$46:$F$120,3,0),""))&amp;""</f>
        <v/>
      </c>
      <c r="L306" s="205" t="str">
        <f>IFERROR(VLOOKUP($I306,'Institution Evaluation'!$A$55:$F$345,4,0),IFERROR(VLOOKUP($I306,'Privacy Analyst Evaluation'!$A$46:$F$120,4,0),""))&amp;""</f>
        <v/>
      </c>
      <c r="M306" s="205" t="str">
        <f>IFERROR(VLOOKUP($I306,'Institution Evaluation'!$A$55:$F$345,6,0),IFERROR(VLOOKUP($I306,'Privacy Analyst Evaluation'!$A$46:$F$120,6,0),""))&amp;""</f>
        <v/>
      </c>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row>
    <row r="307" spans="1:338" x14ac:dyDescent="0.3">
      <c r="A307" s="205" t="str">
        <f>IFERROR(IF($A306+1&gt;'(backend scoring)'!$T$335,"",$A306+1),"")</f>
        <v/>
      </c>
      <c r="B307" s="205" t="str">
        <f>_xlfn.XLOOKUP($A307,'(backend scoring)'!$V$2:$V$333,'(backend scoring)'!$A$2:$A$333,"")</f>
        <v/>
      </c>
      <c r="C307" s="205" t="str">
        <f>IFERROR(VLOOKUP($B307,'Institution Evaluation'!$A$55:$F$345,2,0),IFERROR(VLOOKUP($B307,'Privacy Analyst Evaluation'!$A$46:$F$120,2,0),""))&amp;""</f>
        <v/>
      </c>
      <c r="D307" s="205" t="str">
        <f>IFERROR(VLOOKUP($B307,'Institution Evaluation'!$A$55:$F$345,3,0),IFERROR(VLOOKUP($B307,'Privacy Analyst Evaluation'!$A$46:$F$120,3,0),""))&amp;""</f>
        <v/>
      </c>
      <c r="E307" s="205" t="str">
        <f>IFERROR(VLOOKUP($B307,'Institution Evaluation'!$A$55:$F$345,4,0),IFERROR(VLOOKUP($B307,'Privacy Analyst Evaluation'!$A$46:$F$120,4,0),""))&amp;""</f>
        <v/>
      </c>
      <c r="F307" s="205" t="str">
        <f>IFERROR(VLOOKUP($B307,'Institution Evaluation'!$A$55:$F$345,6,0),IFERROR(VLOOKUP($B307,'Privacy Analyst Evaluation'!$A$46:$F$120,6,0),""))&amp;""</f>
        <v/>
      </c>
      <c r="G307" s="206"/>
      <c r="H307" s="205" t="str">
        <f>IFERROR(IF($H306+1&gt;'(backend scoring)'!$Q$335,"",$H306+1),"")</f>
        <v/>
      </c>
      <c r="I307" s="205" t="str">
        <f>_xlfn.XLOOKUP($H307,'(backend scoring)'!$S$2:$S$333,'(backend scoring)'!$A$2:$A$333,"")</f>
        <v/>
      </c>
      <c r="J307" s="205" t="str">
        <f>IFERROR(VLOOKUP($I307,'Institution Evaluation'!$A$55:$F$345,2,0),IFERROR(VLOOKUP($I307,'Privacy Analyst Evaluation'!$A$46:$F$120,2,0),""))</f>
        <v/>
      </c>
      <c r="K307" s="205" t="str">
        <f>IFERROR(VLOOKUP($I307,'Institution Evaluation'!$A$55:$F$345,3,0),IFERROR(VLOOKUP($I307,'Privacy Analyst Evaluation'!$A$46:$F$120,3,0),""))&amp;""</f>
        <v/>
      </c>
      <c r="L307" s="205" t="str">
        <f>IFERROR(VLOOKUP($I307,'Institution Evaluation'!$A$55:$F$345,4,0),IFERROR(VLOOKUP($I307,'Privacy Analyst Evaluation'!$A$46:$F$120,4,0),""))&amp;""</f>
        <v/>
      </c>
      <c r="M307" s="205" t="str">
        <f>IFERROR(VLOOKUP($I307,'Institution Evaluation'!$A$55:$F$345,6,0),IFERROR(VLOOKUP($I307,'Privacy Analyst Evaluation'!$A$46:$F$120,6,0),""))&amp;""</f>
        <v/>
      </c>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row>
    <row r="308" spans="1:338" x14ac:dyDescent="0.3">
      <c r="A308" s="205" t="str">
        <f>IFERROR(IF($A307+1&gt;'(backend scoring)'!$T$335,"",$A307+1),"")</f>
        <v/>
      </c>
      <c r="B308" s="205" t="str">
        <f>_xlfn.XLOOKUP($A308,'(backend scoring)'!$V$2:$V$333,'(backend scoring)'!$A$2:$A$333,"")</f>
        <v/>
      </c>
      <c r="C308" s="205" t="str">
        <f>IFERROR(VLOOKUP($B308,'Institution Evaluation'!$A$55:$F$345,2,0),IFERROR(VLOOKUP($B308,'Privacy Analyst Evaluation'!$A$46:$F$120,2,0),""))&amp;""</f>
        <v/>
      </c>
      <c r="D308" s="205" t="str">
        <f>IFERROR(VLOOKUP($B308,'Institution Evaluation'!$A$55:$F$345,3,0),IFERROR(VLOOKUP($B308,'Privacy Analyst Evaluation'!$A$46:$F$120,3,0),""))&amp;""</f>
        <v/>
      </c>
      <c r="E308" s="205" t="str">
        <f>IFERROR(VLOOKUP($B308,'Institution Evaluation'!$A$55:$F$345,4,0),IFERROR(VLOOKUP($B308,'Privacy Analyst Evaluation'!$A$46:$F$120,4,0),""))&amp;""</f>
        <v/>
      </c>
      <c r="F308" s="205" t="str">
        <f>IFERROR(VLOOKUP($B308,'Institution Evaluation'!$A$55:$F$345,6,0),IFERROR(VLOOKUP($B308,'Privacy Analyst Evaluation'!$A$46:$F$120,6,0),""))&amp;""</f>
        <v/>
      </c>
      <c r="G308" s="206"/>
      <c r="H308" s="205" t="str">
        <f>IFERROR(IF($H307+1&gt;'(backend scoring)'!$Q$335,"",$H307+1),"")</f>
        <v/>
      </c>
      <c r="I308" s="205" t="str">
        <f>_xlfn.XLOOKUP($H308,'(backend scoring)'!$S$2:$S$333,'(backend scoring)'!$A$2:$A$333,"")</f>
        <v/>
      </c>
      <c r="J308" s="205" t="str">
        <f>IFERROR(VLOOKUP($I308,'Institution Evaluation'!$A$55:$F$345,2,0),IFERROR(VLOOKUP($I308,'Privacy Analyst Evaluation'!$A$46:$F$120,2,0),""))</f>
        <v/>
      </c>
      <c r="K308" s="205" t="str">
        <f>IFERROR(VLOOKUP($I308,'Institution Evaluation'!$A$55:$F$345,3,0),IFERROR(VLOOKUP($I308,'Privacy Analyst Evaluation'!$A$46:$F$120,3,0),""))&amp;""</f>
        <v/>
      </c>
      <c r="L308" s="205" t="str">
        <f>IFERROR(VLOOKUP($I308,'Institution Evaluation'!$A$55:$F$345,4,0),IFERROR(VLOOKUP($I308,'Privacy Analyst Evaluation'!$A$46:$F$120,4,0),""))&amp;""</f>
        <v/>
      </c>
      <c r="M308" s="205" t="str">
        <f>IFERROR(VLOOKUP($I308,'Institution Evaluation'!$A$55:$F$345,6,0),IFERROR(VLOOKUP($I308,'Privacy Analyst Evaluation'!$A$46:$F$120,6,0),""))&amp;""</f>
        <v/>
      </c>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row>
    <row r="309" spans="1:338" x14ac:dyDescent="0.3">
      <c r="A309" s="205" t="str">
        <f>IFERROR(IF($A308+1&gt;'(backend scoring)'!$T$335,"",$A308+1),"")</f>
        <v/>
      </c>
      <c r="B309" s="205" t="str">
        <f>_xlfn.XLOOKUP($A309,'(backend scoring)'!$V$2:$V$333,'(backend scoring)'!$A$2:$A$333,"")</f>
        <v/>
      </c>
      <c r="C309" s="205" t="str">
        <f>IFERROR(VLOOKUP($B309,'Institution Evaluation'!$A$55:$F$345,2,0),IFERROR(VLOOKUP($B309,'Privacy Analyst Evaluation'!$A$46:$F$120,2,0),""))&amp;""</f>
        <v/>
      </c>
      <c r="D309" s="205" t="str">
        <f>IFERROR(VLOOKUP($B309,'Institution Evaluation'!$A$55:$F$345,3,0),IFERROR(VLOOKUP($B309,'Privacy Analyst Evaluation'!$A$46:$F$120,3,0),""))&amp;""</f>
        <v/>
      </c>
      <c r="E309" s="205" t="str">
        <f>IFERROR(VLOOKUP($B309,'Institution Evaluation'!$A$55:$F$345,4,0),IFERROR(VLOOKUP($B309,'Privacy Analyst Evaluation'!$A$46:$F$120,4,0),""))&amp;""</f>
        <v/>
      </c>
      <c r="F309" s="205" t="str">
        <f>IFERROR(VLOOKUP($B309,'Institution Evaluation'!$A$55:$F$345,6,0),IFERROR(VLOOKUP($B309,'Privacy Analyst Evaluation'!$A$46:$F$120,6,0),""))&amp;""</f>
        <v/>
      </c>
      <c r="G309" s="206"/>
      <c r="H309" s="205" t="str">
        <f>IFERROR(IF($H308+1&gt;'(backend scoring)'!$Q$335,"",$H308+1),"")</f>
        <v/>
      </c>
      <c r="I309" s="205" t="str">
        <f>_xlfn.XLOOKUP($H309,'(backend scoring)'!$S$2:$S$333,'(backend scoring)'!$A$2:$A$333,"")</f>
        <v/>
      </c>
      <c r="J309" s="205" t="str">
        <f>IFERROR(VLOOKUP($I309,'Institution Evaluation'!$A$55:$F$345,2,0),IFERROR(VLOOKUP($I309,'Privacy Analyst Evaluation'!$A$46:$F$120,2,0),""))</f>
        <v/>
      </c>
      <c r="K309" s="205" t="str">
        <f>IFERROR(VLOOKUP($I309,'Institution Evaluation'!$A$55:$F$345,3,0),IFERROR(VLOOKUP($I309,'Privacy Analyst Evaluation'!$A$46:$F$120,3,0),""))&amp;""</f>
        <v/>
      </c>
      <c r="L309" s="205" t="str">
        <f>IFERROR(VLOOKUP($I309,'Institution Evaluation'!$A$55:$F$345,4,0),IFERROR(VLOOKUP($I309,'Privacy Analyst Evaluation'!$A$46:$F$120,4,0),""))&amp;""</f>
        <v/>
      </c>
      <c r="M309" s="205" t="str">
        <f>IFERROR(VLOOKUP($I309,'Institution Evaluation'!$A$55:$F$345,6,0),IFERROR(VLOOKUP($I309,'Privacy Analyst Evaluation'!$A$46:$F$120,6,0),""))&amp;""</f>
        <v/>
      </c>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row>
    <row r="310" spans="1:338" x14ac:dyDescent="0.3">
      <c r="A310" s="205" t="str">
        <f>IFERROR(IF($A309+1&gt;'(backend scoring)'!$T$335,"",$A309+1),"")</f>
        <v/>
      </c>
      <c r="B310" s="205" t="str">
        <f>_xlfn.XLOOKUP($A310,'(backend scoring)'!$V$2:$V$333,'(backend scoring)'!$A$2:$A$333,"")</f>
        <v/>
      </c>
      <c r="C310" s="205" t="str">
        <f>IFERROR(VLOOKUP($B310,'Institution Evaluation'!$A$55:$F$345,2,0),IFERROR(VLOOKUP($B310,'Privacy Analyst Evaluation'!$A$46:$F$120,2,0),""))&amp;""</f>
        <v/>
      </c>
      <c r="D310" s="205" t="str">
        <f>IFERROR(VLOOKUP($B310,'Institution Evaluation'!$A$55:$F$345,3,0),IFERROR(VLOOKUP($B310,'Privacy Analyst Evaluation'!$A$46:$F$120,3,0),""))&amp;""</f>
        <v/>
      </c>
      <c r="E310" s="205" t="str">
        <f>IFERROR(VLOOKUP($B310,'Institution Evaluation'!$A$55:$F$345,4,0),IFERROR(VLOOKUP($B310,'Privacy Analyst Evaluation'!$A$46:$F$120,4,0),""))&amp;""</f>
        <v/>
      </c>
      <c r="F310" s="205" t="str">
        <f>IFERROR(VLOOKUP($B310,'Institution Evaluation'!$A$55:$F$345,6,0),IFERROR(VLOOKUP($B310,'Privacy Analyst Evaluation'!$A$46:$F$120,6,0),""))&amp;""</f>
        <v/>
      </c>
      <c r="G310" s="206"/>
      <c r="H310" s="205" t="str">
        <f>IFERROR(IF($H309+1&gt;'(backend scoring)'!$Q$335,"",$H309+1),"")</f>
        <v/>
      </c>
      <c r="I310" s="205" t="str">
        <f>_xlfn.XLOOKUP($H310,'(backend scoring)'!$S$2:$S$333,'(backend scoring)'!$A$2:$A$333,"")</f>
        <v/>
      </c>
      <c r="J310" s="205" t="str">
        <f>IFERROR(VLOOKUP($I310,'Institution Evaluation'!$A$55:$F$345,2,0),IFERROR(VLOOKUP($I310,'Privacy Analyst Evaluation'!$A$46:$F$120,2,0),""))</f>
        <v/>
      </c>
      <c r="K310" s="205" t="str">
        <f>IFERROR(VLOOKUP($I310,'Institution Evaluation'!$A$55:$F$345,3,0),IFERROR(VLOOKUP($I310,'Privacy Analyst Evaluation'!$A$46:$F$120,3,0),""))&amp;""</f>
        <v/>
      </c>
      <c r="L310" s="205" t="str">
        <f>IFERROR(VLOOKUP($I310,'Institution Evaluation'!$A$55:$F$345,4,0),IFERROR(VLOOKUP($I310,'Privacy Analyst Evaluation'!$A$46:$F$120,4,0),""))&amp;""</f>
        <v/>
      </c>
      <c r="M310" s="205" t="str">
        <f>IFERROR(VLOOKUP($I310,'Institution Evaluation'!$A$55:$F$345,6,0),IFERROR(VLOOKUP($I310,'Privacy Analyst Evaluation'!$A$46:$F$120,6,0),""))&amp;""</f>
        <v/>
      </c>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row>
    <row r="311" spans="1:338" x14ac:dyDescent="0.3">
      <c r="A311" s="205" t="str">
        <f>IFERROR(IF($A310+1&gt;'(backend scoring)'!$T$335,"",$A310+1),"")</f>
        <v/>
      </c>
      <c r="B311" s="205" t="str">
        <f>_xlfn.XLOOKUP($A311,'(backend scoring)'!$V$2:$V$333,'(backend scoring)'!$A$2:$A$333,"")</f>
        <v/>
      </c>
      <c r="C311" s="205" t="str">
        <f>IFERROR(VLOOKUP($B311,'Institution Evaluation'!$A$55:$F$345,2,0),IFERROR(VLOOKUP($B311,'Privacy Analyst Evaluation'!$A$46:$F$120,2,0),""))&amp;""</f>
        <v/>
      </c>
      <c r="D311" s="205" t="str">
        <f>IFERROR(VLOOKUP($B311,'Institution Evaluation'!$A$55:$F$345,3,0),IFERROR(VLOOKUP($B311,'Privacy Analyst Evaluation'!$A$46:$F$120,3,0),""))&amp;""</f>
        <v/>
      </c>
      <c r="E311" s="205" t="str">
        <f>IFERROR(VLOOKUP($B311,'Institution Evaluation'!$A$55:$F$345,4,0),IFERROR(VLOOKUP($B311,'Privacy Analyst Evaluation'!$A$46:$F$120,4,0),""))&amp;""</f>
        <v/>
      </c>
      <c r="F311" s="205" t="str">
        <f>IFERROR(VLOOKUP($B311,'Institution Evaluation'!$A$55:$F$345,6,0),IFERROR(VLOOKUP($B311,'Privacy Analyst Evaluation'!$A$46:$F$120,6,0),""))&amp;""</f>
        <v/>
      </c>
      <c r="G311" s="206"/>
      <c r="H311" s="205" t="str">
        <f>IFERROR(IF($H310+1&gt;'(backend scoring)'!$Q$335,"",$H310+1),"")</f>
        <v/>
      </c>
      <c r="I311" s="205" t="str">
        <f>_xlfn.XLOOKUP($H311,'(backend scoring)'!$S$2:$S$333,'(backend scoring)'!$A$2:$A$333,"")</f>
        <v/>
      </c>
      <c r="J311" s="205" t="str">
        <f>IFERROR(VLOOKUP($I311,'Institution Evaluation'!$A$55:$F$345,2,0),IFERROR(VLOOKUP($I311,'Privacy Analyst Evaluation'!$A$46:$F$120,2,0),""))</f>
        <v/>
      </c>
      <c r="K311" s="205" t="str">
        <f>IFERROR(VLOOKUP($I311,'Institution Evaluation'!$A$55:$F$345,3,0),IFERROR(VLOOKUP($I311,'Privacy Analyst Evaluation'!$A$46:$F$120,3,0),""))&amp;""</f>
        <v/>
      </c>
      <c r="L311" s="205" t="str">
        <f>IFERROR(VLOOKUP($I311,'Institution Evaluation'!$A$55:$F$345,4,0),IFERROR(VLOOKUP($I311,'Privacy Analyst Evaluation'!$A$46:$F$120,4,0),""))&amp;""</f>
        <v/>
      </c>
      <c r="M311" s="205" t="str">
        <f>IFERROR(VLOOKUP($I311,'Institution Evaluation'!$A$55:$F$345,6,0),IFERROR(VLOOKUP($I311,'Privacy Analyst Evaluation'!$A$46:$F$120,6,0),""))&amp;""</f>
        <v/>
      </c>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row>
    <row r="312" spans="1:338" x14ac:dyDescent="0.3">
      <c r="A312" s="205" t="str">
        <f>IFERROR(IF($A311+1&gt;'(backend scoring)'!$T$335,"",$A311+1),"")</f>
        <v/>
      </c>
      <c r="B312" s="205" t="str">
        <f>_xlfn.XLOOKUP($A312,'(backend scoring)'!$V$2:$V$333,'(backend scoring)'!$A$2:$A$333,"")</f>
        <v/>
      </c>
      <c r="C312" s="205" t="str">
        <f>IFERROR(VLOOKUP($B312,'Institution Evaluation'!$A$55:$F$345,2,0),IFERROR(VLOOKUP($B312,'Privacy Analyst Evaluation'!$A$46:$F$120,2,0),""))&amp;""</f>
        <v/>
      </c>
      <c r="D312" s="205" t="str">
        <f>IFERROR(VLOOKUP($B312,'Institution Evaluation'!$A$55:$F$345,3,0),IFERROR(VLOOKUP($B312,'Privacy Analyst Evaluation'!$A$46:$F$120,3,0),""))&amp;""</f>
        <v/>
      </c>
      <c r="E312" s="205" t="str">
        <f>IFERROR(VLOOKUP($B312,'Institution Evaluation'!$A$55:$F$345,4,0),IFERROR(VLOOKUP($B312,'Privacy Analyst Evaluation'!$A$46:$F$120,4,0),""))&amp;""</f>
        <v/>
      </c>
      <c r="F312" s="205" t="str">
        <f>IFERROR(VLOOKUP($B312,'Institution Evaluation'!$A$55:$F$345,6,0),IFERROR(VLOOKUP($B312,'Privacy Analyst Evaluation'!$A$46:$F$120,6,0),""))&amp;""</f>
        <v/>
      </c>
      <c r="G312" s="206"/>
      <c r="H312" s="205" t="str">
        <f>IFERROR(IF($H311+1&gt;'(backend scoring)'!$Q$335,"",$H311+1),"")</f>
        <v/>
      </c>
      <c r="I312" s="205" t="str">
        <f>_xlfn.XLOOKUP($H312,'(backend scoring)'!$S$2:$S$333,'(backend scoring)'!$A$2:$A$333,"")</f>
        <v/>
      </c>
      <c r="J312" s="205" t="str">
        <f>IFERROR(VLOOKUP($I312,'Institution Evaluation'!$A$55:$F$345,2,0),IFERROR(VLOOKUP($I312,'Privacy Analyst Evaluation'!$A$46:$F$120,2,0),""))</f>
        <v/>
      </c>
      <c r="K312" s="205" t="str">
        <f>IFERROR(VLOOKUP($I312,'Institution Evaluation'!$A$55:$F$345,3,0),IFERROR(VLOOKUP($I312,'Privacy Analyst Evaluation'!$A$46:$F$120,3,0),""))&amp;""</f>
        <v/>
      </c>
      <c r="L312" s="205" t="str">
        <f>IFERROR(VLOOKUP($I312,'Institution Evaluation'!$A$55:$F$345,4,0),IFERROR(VLOOKUP($I312,'Privacy Analyst Evaluation'!$A$46:$F$120,4,0),""))&amp;""</f>
        <v/>
      </c>
      <c r="M312" s="205" t="str">
        <f>IFERROR(VLOOKUP($I312,'Institution Evaluation'!$A$55:$F$345,6,0),IFERROR(VLOOKUP($I312,'Privacy Analyst Evaluation'!$A$46:$F$120,6,0),""))&amp;""</f>
        <v/>
      </c>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row>
    <row r="313" spans="1:338" x14ac:dyDescent="0.3">
      <c r="A313" s="205" t="str">
        <f>IFERROR(IF($A312+1&gt;'(backend scoring)'!$T$335,"",$A312+1),"")</f>
        <v/>
      </c>
      <c r="B313" s="205" t="str">
        <f>_xlfn.XLOOKUP($A313,'(backend scoring)'!$V$2:$V$333,'(backend scoring)'!$A$2:$A$333,"")</f>
        <v/>
      </c>
      <c r="C313" s="205" t="str">
        <f>IFERROR(VLOOKUP($B313,'Institution Evaluation'!$A$55:$F$345,2,0),IFERROR(VLOOKUP($B313,'Privacy Analyst Evaluation'!$A$46:$F$120,2,0),""))&amp;""</f>
        <v/>
      </c>
      <c r="D313" s="205" t="str">
        <f>IFERROR(VLOOKUP($B313,'Institution Evaluation'!$A$55:$F$345,3,0),IFERROR(VLOOKUP($B313,'Privacy Analyst Evaluation'!$A$46:$F$120,3,0),""))&amp;""</f>
        <v/>
      </c>
      <c r="E313" s="205" t="str">
        <f>IFERROR(VLOOKUP($B313,'Institution Evaluation'!$A$55:$F$345,4,0),IFERROR(VLOOKUP($B313,'Privacy Analyst Evaluation'!$A$46:$F$120,4,0),""))&amp;""</f>
        <v/>
      </c>
      <c r="F313" s="205" t="str">
        <f>IFERROR(VLOOKUP($B313,'Institution Evaluation'!$A$55:$F$345,6,0),IFERROR(VLOOKUP($B313,'Privacy Analyst Evaluation'!$A$46:$F$120,6,0),""))&amp;""</f>
        <v/>
      </c>
      <c r="G313" s="206"/>
      <c r="H313" s="205" t="str">
        <f>IFERROR(IF($H312+1&gt;'(backend scoring)'!$Q$335,"",$H312+1),"")</f>
        <v/>
      </c>
      <c r="I313" s="205" t="str">
        <f>_xlfn.XLOOKUP($H313,'(backend scoring)'!$S$2:$S$333,'(backend scoring)'!$A$2:$A$333,"")</f>
        <v/>
      </c>
      <c r="J313" s="205" t="str">
        <f>IFERROR(VLOOKUP($I313,'Institution Evaluation'!$A$55:$F$345,2,0),IFERROR(VLOOKUP($I313,'Privacy Analyst Evaluation'!$A$46:$F$120,2,0),""))</f>
        <v/>
      </c>
      <c r="K313" s="205" t="str">
        <f>IFERROR(VLOOKUP($I313,'Institution Evaluation'!$A$55:$F$345,3,0),IFERROR(VLOOKUP($I313,'Privacy Analyst Evaluation'!$A$46:$F$120,3,0),""))&amp;""</f>
        <v/>
      </c>
      <c r="L313" s="205" t="str">
        <f>IFERROR(VLOOKUP($I313,'Institution Evaluation'!$A$55:$F$345,4,0),IFERROR(VLOOKUP($I313,'Privacy Analyst Evaluation'!$A$46:$F$120,4,0),""))&amp;""</f>
        <v/>
      </c>
      <c r="M313" s="205" t="str">
        <f>IFERROR(VLOOKUP($I313,'Institution Evaluation'!$A$55:$F$345,6,0),IFERROR(VLOOKUP($I313,'Privacy Analyst Evaluation'!$A$46:$F$120,6,0),""))&amp;""</f>
        <v/>
      </c>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row>
    <row r="314" spans="1:338" x14ac:dyDescent="0.3">
      <c r="A314" s="205" t="str">
        <f>IFERROR(IF($A313+1&gt;'(backend scoring)'!$T$335,"",$A313+1),"")</f>
        <v/>
      </c>
      <c r="B314" s="205" t="str">
        <f>_xlfn.XLOOKUP($A314,'(backend scoring)'!$V$2:$V$333,'(backend scoring)'!$A$2:$A$333,"")</f>
        <v/>
      </c>
      <c r="C314" s="205" t="str">
        <f>IFERROR(VLOOKUP($B314,'Institution Evaluation'!$A$55:$F$345,2,0),IFERROR(VLOOKUP($B314,'Privacy Analyst Evaluation'!$A$46:$F$120,2,0),""))&amp;""</f>
        <v/>
      </c>
      <c r="D314" s="205" t="str">
        <f>IFERROR(VLOOKUP($B314,'Institution Evaluation'!$A$55:$F$345,3,0),IFERROR(VLOOKUP($B314,'Privacy Analyst Evaluation'!$A$46:$F$120,3,0),""))&amp;""</f>
        <v/>
      </c>
      <c r="E314" s="205" t="str">
        <f>IFERROR(VLOOKUP($B314,'Institution Evaluation'!$A$55:$F$345,4,0),IFERROR(VLOOKUP($B314,'Privacy Analyst Evaluation'!$A$46:$F$120,4,0),""))&amp;""</f>
        <v/>
      </c>
      <c r="F314" s="205" t="str">
        <f>IFERROR(VLOOKUP($B314,'Institution Evaluation'!$A$55:$F$345,6,0),IFERROR(VLOOKUP($B314,'Privacy Analyst Evaluation'!$A$46:$F$120,6,0),""))&amp;""</f>
        <v/>
      </c>
      <c r="G314" s="206"/>
      <c r="H314" s="205" t="str">
        <f>IFERROR(IF($H313+1&gt;'(backend scoring)'!$Q$335,"",$H313+1),"")</f>
        <v/>
      </c>
      <c r="I314" s="205" t="str">
        <f>_xlfn.XLOOKUP($H314,'(backend scoring)'!$S$2:$S$333,'(backend scoring)'!$A$2:$A$333,"")</f>
        <v/>
      </c>
      <c r="J314" s="205" t="str">
        <f>IFERROR(VLOOKUP($I314,'Institution Evaluation'!$A$55:$F$345,2,0),IFERROR(VLOOKUP($I314,'Privacy Analyst Evaluation'!$A$46:$F$120,2,0),""))</f>
        <v/>
      </c>
      <c r="K314" s="205" t="str">
        <f>IFERROR(VLOOKUP($I314,'Institution Evaluation'!$A$55:$F$345,3,0),IFERROR(VLOOKUP($I314,'Privacy Analyst Evaluation'!$A$46:$F$120,3,0),""))&amp;""</f>
        <v/>
      </c>
      <c r="L314" s="205" t="str">
        <f>IFERROR(VLOOKUP($I314,'Institution Evaluation'!$A$55:$F$345,4,0),IFERROR(VLOOKUP($I314,'Privacy Analyst Evaluation'!$A$46:$F$120,4,0),""))&amp;""</f>
        <v/>
      </c>
      <c r="M314" s="205" t="str">
        <f>IFERROR(VLOOKUP($I314,'Institution Evaluation'!$A$55:$F$345,6,0),IFERROR(VLOOKUP($I314,'Privacy Analyst Evaluation'!$A$46:$F$120,6,0),""))&amp;""</f>
        <v/>
      </c>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row>
    <row r="315" spans="1:338" x14ac:dyDescent="0.3">
      <c r="A315" s="205" t="str">
        <f>IFERROR(IF($A314+1&gt;'(backend scoring)'!$T$335,"",$A314+1),"")</f>
        <v/>
      </c>
      <c r="B315" s="205" t="str">
        <f>_xlfn.XLOOKUP($A315,'(backend scoring)'!$V$2:$V$333,'(backend scoring)'!$A$2:$A$333,"")</f>
        <v/>
      </c>
      <c r="C315" s="205" t="str">
        <f>IFERROR(VLOOKUP($B315,'Institution Evaluation'!$A$55:$F$345,2,0),IFERROR(VLOOKUP($B315,'Privacy Analyst Evaluation'!$A$46:$F$120,2,0),""))&amp;""</f>
        <v/>
      </c>
      <c r="D315" s="205" t="str">
        <f>IFERROR(VLOOKUP($B315,'Institution Evaluation'!$A$55:$F$345,3,0),IFERROR(VLOOKUP($B315,'Privacy Analyst Evaluation'!$A$46:$F$120,3,0),""))&amp;""</f>
        <v/>
      </c>
      <c r="E315" s="205" t="str">
        <f>IFERROR(VLOOKUP($B315,'Institution Evaluation'!$A$55:$F$345,4,0),IFERROR(VLOOKUP($B315,'Privacy Analyst Evaluation'!$A$46:$F$120,4,0),""))&amp;""</f>
        <v/>
      </c>
      <c r="F315" s="205" t="str">
        <f>IFERROR(VLOOKUP($B315,'Institution Evaluation'!$A$55:$F$345,6,0),IFERROR(VLOOKUP($B315,'Privacy Analyst Evaluation'!$A$46:$F$120,6,0),""))&amp;""</f>
        <v/>
      </c>
      <c r="G315" s="206"/>
      <c r="H315" s="205" t="str">
        <f>IFERROR(IF($H314+1&gt;'(backend scoring)'!$Q$335,"",$H314+1),"")</f>
        <v/>
      </c>
      <c r="I315" s="205" t="str">
        <f>_xlfn.XLOOKUP($H315,'(backend scoring)'!$S$2:$S$333,'(backend scoring)'!$A$2:$A$333,"")</f>
        <v/>
      </c>
      <c r="J315" s="205" t="str">
        <f>IFERROR(VLOOKUP($I315,'Institution Evaluation'!$A$55:$F$345,2,0),IFERROR(VLOOKUP($I315,'Privacy Analyst Evaluation'!$A$46:$F$120,2,0),""))</f>
        <v/>
      </c>
      <c r="K315" s="205" t="str">
        <f>IFERROR(VLOOKUP($I315,'Institution Evaluation'!$A$55:$F$345,3,0),IFERROR(VLOOKUP($I315,'Privacy Analyst Evaluation'!$A$46:$F$120,3,0),""))&amp;""</f>
        <v/>
      </c>
      <c r="L315" s="205" t="str">
        <f>IFERROR(VLOOKUP($I315,'Institution Evaluation'!$A$55:$F$345,4,0),IFERROR(VLOOKUP($I315,'Privacy Analyst Evaluation'!$A$46:$F$120,4,0),""))&amp;""</f>
        <v/>
      </c>
      <c r="M315" s="205" t="str">
        <f>IFERROR(VLOOKUP($I315,'Institution Evaluation'!$A$55:$F$345,6,0),IFERROR(VLOOKUP($I315,'Privacy Analyst Evaluation'!$A$46:$F$120,6,0),""))&amp;""</f>
        <v/>
      </c>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row>
    <row r="316" spans="1:338" x14ac:dyDescent="0.3">
      <c r="A316" s="205" t="str">
        <f>IFERROR(IF($A315+1&gt;'(backend scoring)'!$T$335,"",$A315+1),"")</f>
        <v/>
      </c>
      <c r="B316" s="205" t="str">
        <f>_xlfn.XLOOKUP($A316,'(backend scoring)'!$V$2:$V$333,'(backend scoring)'!$A$2:$A$333,"")</f>
        <v/>
      </c>
      <c r="C316" s="205" t="str">
        <f>IFERROR(VLOOKUP($B316,'Institution Evaluation'!$A$55:$F$345,2,0),IFERROR(VLOOKUP($B316,'Privacy Analyst Evaluation'!$A$46:$F$120,2,0),""))&amp;""</f>
        <v/>
      </c>
      <c r="D316" s="205" t="str">
        <f>IFERROR(VLOOKUP($B316,'Institution Evaluation'!$A$55:$F$345,3,0),IFERROR(VLOOKUP($B316,'Privacy Analyst Evaluation'!$A$46:$F$120,3,0),""))&amp;""</f>
        <v/>
      </c>
      <c r="E316" s="205" t="str">
        <f>IFERROR(VLOOKUP($B316,'Institution Evaluation'!$A$55:$F$345,4,0),IFERROR(VLOOKUP($B316,'Privacy Analyst Evaluation'!$A$46:$F$120,4,0),""))&amp;""</f>
        <v/>
      </c>
      <c r="F316" s="205" t="str">
        <f>IFERROR(VLOOKUP($B316,'Institution Evaluation'!$A$55:$F$345,6,0),IFERROR(VLOOKUP($B316,'Privacy Analyst Evaluation'!$A$46:$F$120,6,0),""))&amp;""</f>
        <v/>
      </c>
      <c r="G316" s="206"/>
      <c r="H316" s="205" t="str">
        <f>IFERROR(IF($H315+1&gt;'(backend scoring)'!$Q$335,"",$H315+1),"")</f>
        <v/>
      </c>
      <c r="I316" s="205" t="str">
        <f>_xlfn.XLOOKUP($H316,'(backend scoring)'!$S$2:$S$333,'(backend scoring)'!$A$2:$A$333,"")</f>
        <v/>
      </c>
      <c r="J316" s="205" t="str">
        <f>IFERROR(VLOOKUP($I316,'Institution Evaluation'!$A$55:$F$345,2,0),IFERROR(VLOOKUP($I316,'Privacy Analyst Evaluation'!$A$46:$F$120,2,0),""))</f>
        <v/>
      </c>
      <c r="K316" s="205" t="str">
        <f>IFERROR(VLOOKUP($I316,'Institution Evaluation'!$A$55:$F$345,3,0),IFERROR(VLOOKUP($I316,'Privacy Analyst Evaluation'!$A$46:$F$120,3,0),""))&amp;""</f>
        <v/>
      </c>
      <c r="L316" s="205" t="str">
        <f>IFERROR(VLOOKUP($I316,'Institution Evaluation'!$A$55:$F$345,4,0),IFERROR(VLOOKUP($I316,'Privacy Analyst Evaluation'!$A$46:$F$120,4,0),""))&amp;""</f>
        <v/>
      </c>
      <c r="M316" s="205" t="str">
        <f>IFERROR(VLOOKUP($I316,'Institution Evaluation'!$A$55:$F$345,6,0),IFERROR(VLOOKUP($I316,'Privacy Analyst Evaluation'!$A$46:$F$120,6,0),""))&amp;""</f>
        <v/>
      </c>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row>
    <row r="317" spans="1:338" x14ac:dyDescent="0.3">
      <c r="A317" s="205" t="str">
        <f>IFERROR(IF($A316+1&gt;'(backend scoring)'!$T$335,"",$A316+1),"")</f>
        <v/>
      </c>
      <c r="B317" s="205" t="str">
        <f>_xlfn.XLOOKUP($A317,'(backend scoring)'!$V$2:$V$333,'(backend scoring)'!$A$2:$A$333,"")</f>
        <v/>
      </c>
      <c r="C317" s="205" t="str">
        <f>IFERROR(VLOOKUP($B317,'Institution Evaluation'!$A$55:$F$345,2,0),IFERROR(VLOOKUP($B317,'Privacy Analyst Evaluation'!$A$46:$F$120,2,0),""))&amp;""</f>
        <v/>
      </c>
      <c r="D317" s="205" t="str">
        <f>IFERROR(VLOOKUP($B317,'Institution Evaluation'!$A$55:$F$345,3,0),IFERROR(VLOOKUP($B317,'Privacy Analyst Evaluation'!$A$46:$F$120,3,0),""))&amp;""</f>
        <v/>
      </c>
      <c r="E317" s="205" t="str">
        <f>IFERROR(VLOOKUP($B317,'Institution Evaluation'!$A$55:$F$345,4,0),IFERROR(VLOOKUP($B317,'Privacy Analyst Evaluation'!$A$46:$F$120,4,0),""))&amp;""</f>
        <v/>
      </c>
      <c r="F317" s="205" t="str">
        <f>IFERROR(VLOOKUP($B317,'Institution Evaluation'!$A$55:$F$345,6,0),IFERROR(VLOOKUP($B317,'Privacy Analyst Evaluation'!$A$46:$F$120,6,0),""))&amp;""</f>
        <v/>
      </c>
      <c r="G317" s="206"/>
      <c r="H317" s="205" t="str">
        <f>IFERROR(IF($H316+1&gt;'(backend scoring)'!$Q$335,"",$H316+1),"")</f>
        <v/>
      </c>
      <c r="I317" s="205" t="str">
        <f>_xlfn.XLOOKUP($H317,'(backend scoring)'!$S$2:$S$333,'(backend scoring)'!$A$2:$A$333,"")</f>
        <v/>
      </c>
      <c r="J317" s="205" t="str">
        <f>IFERROR(VLOOKUP($I317,'Institution Evaluation'!$A$55:$F$345,2,0),IFERROR(VLOOKUP($I317,'Privacy Analyst Evaluation'!$A$46:$F$120,2,0),""))</f>
        <v/>
      </c>
      <c r="K317" s="205" t="str">
        <f>IFERROR(VLOOKUP($I317,'Institution Evaluation'!$A$55:$F$345,3,0),IFERROR(VLOOKUP($I317,'Privacy Analyst Evaluation'!$A$46:$F$120,3,0),""))&amp;""</f>
        <v/>
      </c>
      <c r="L317" s="205" t="str">
        <f>IFERROR(VLOOKUP($I317,'Institution Evaluation'!$A$55:$F$345,4,0),IFERROR(VLOOKUP($I317,'Privacy Analyst Evaluation'!$A$46:$F$120,4,0),""))&amp;""</f>
        <v/>
      </c>
      <c r="M317" s="205" t="str">
        <f>IFERROR(VLOOKUP($I317,'Institution Evaluation'!$A$55:$F$345,6,0),IFERROR(VLOOKUP($I317,'Privacy Analyst Evaluation'!$A$46:$F$120,6,0),""))&amp;""</f>
        <v/>
      </c>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row>
    <row r="318" spans="1:338" x14ac:dyDescent="0.3">
      <c r="A318" s="205" t="str">
        <f>IFERROR(IF($A317+1&gt;'(backend scoring)'!$T$335,"",$A317+1),"")</f>
        <v/>
      </c>
      <c r="B318" s="205" t="str">
        <f>_xlfn.XLOOKUP($A318,'(backend scoring)'!$V$2:$V$333,'(backend scoring)'!$A$2:$A$333,"")</f>
        <v/>
      </c>
      <c r="C318" s="205" t="str">
        <f>IFERROR(VLOOKUP($B318,'Institution Evaluation'!$A$55:$F$345,2,0),IFERROR(VLOOKUP($B318,'Privacy Analyst Evaluation'!$A$46:$F$120,2,0),""))&amp;""</f>
        <v/>
      </c>
      <c r="D318" s="205" t="str">
        <f>IFERROR(VLOOKUP($B318,'Institution Evaluation'!$A$55:$F$345,3,0),IFERROR(VLOOKUP($B318,'Privacy Analyst Evaluation'!$A$46:$F$120,3,0),""))&amp;""</f>
        <v/>
      </c>
      <c r="E318" s="205" t="str">
        <f>IFERROR(VLOOKUP($B318,'Institution Evaluation'!$A$55:$F$345,4,0),IFERROR(VLOOKUP($B318,'Privacy Analyst Evaluation'!$A$46:$F$120,4,0),""))&amp;""</f>
        <v/>
      </c>
      <c r="F318" s="205" t="str">
        <f>IFERROR(VLOOKUP($B318,'Institution Evaluation'!$A$55:$F$345,6,0),IFERROR(VLOOKUP($B318,'Privacy Analyst Evaluation'!$A$46:$F$120,6,0),""))&amp;""</f>
        <v/>
      </c>
      <c r="G318" s="206"/>
      <c r="H318" s="205" t="str">
        <f>IFERROR(IF($H317+1&gt;'(backend scoring)'!$Q$335,"",$H317+1),"")</f>
        <v/>
      </c>
      <c r="I318" s="205" t="str">
        <f>_xlfn.XLOOKUP($H318,'(backend scoring)'!$S$2:$S$333,'(backend scoring)'!$A$2:$A$333,"")</f>
        <v/>
      </c>
      <c r="J318" s="205" t="str">
        <f>IFERROR(VLOOKUP($I318,'Institution Evaluation'!$A$55:$F$345,2,0),IFERROR(VLOOKUP($I318,'Privacy Analyst Evaluation'!$A$46:$F$120,2,0),""))</f>
        <v/>
      </c>
      <c r="K318" s="205" t="str">
        <f>IFERROR(VLOOKUP($I318,'Institution Evaluation'!$A$55:$F$345,3,0),IFERROR(VLOOKUP($I318,'Privacy Analyst Evaluation'!$A$46:$F$120,3,0),""))&amp;""</f>
        <v/>
      </c>
      <c r="L318" s="205" t="str">
        <f>IFERROR(VLOOKUP($I318,'Institution Evaluation'!$A$55:$F$345,4,0),IFERROR(VLOOKUP($I318,'Privacy Analyst Evaluation'!$A$46:$F$120,4,0),""))&amp;""</f>
        <v/>
      </c>
      <c r="M318" s="205" t="str">
        <f>IFERROR(VLOOKUP($I318,'Institution Evaluation'!$A$55:$F$345,6,0),IFERROR(VLOOKUP($I318,'Privacy Analyst Evaluation'!$A$46:$F$120,6,0),""))&amp;""</f>
        <v/>
      </c>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row>
    <row r="319" spans="1:338" x14ac:dyDescent="0.3">
      <c r="A319" s="205" t="str">
        <f>IFERROR(IF($A318+1&gt;'(backend scoring)'!$T$335,"",$A318+1),"")</f>
        <v/>
      </c>
      <c r="B319" s="205" t="str">
        <f>_xlfn.XLOOKUP($A319,'(backend scoring)'!$V$2:$V$333,'(backend scoring)'!$A$2:$A$333,"")</f>
        <v/>
      </c>
      <c r="C319" s="205" t="str">
        <f>IFERROR(VLOOKUP($B319,'Institution Evaluation'!$A$55:$F$345,2,0),IFERROR(VLOOKUP($B319,'Privacy Analyst Evaluation'!$A$46:$F$120,2,0),""))&amp;""</f>
        <v/>
      </c>
      <c r="D319" s="205" t="str">
        <f>IFERROR(VLOOKUP($B319,'Institution Evaluation'!$A$55:$F$345,3,0),IFERROR(VLOOKUP($B319,'Privacy Analyst Evaluation'!$A$46:$F$120,3,0),""))&amp;""</f>
        <v/>
      </c>
      <c r="E319" s="205" t="str">
        <f>IFERROR(VLOOKUP($B319,'Institution Evaluation'!$A$55:$F$345,4,0),IFERROR(VLOOKUP($B319,'Privacy Analyst Evaluation'!$A$46:$F$120,4,0),""))&amp;""</f>
        <v/>
      </c>
      <c r="F319" s="205" t="str">
        <f>IFERROR(VLOOKUP($B319,'Institution Evaluation'!$A$55:$F$345,6,0),IFERROR(VLOOKUP($B319,'Privacy Analyst Evaluation'!$A$46:$F$120,6,0),""))&amp;""</f>
        <v/>
      </c>
      <c r="G319" s="206"/>
      <c r="H319" s="205" t="str">
        <f>IFERROR(IF($H318+1&gt;'(backend scoring)'!$Q$335,"",$H318+1),"")</f>
        <v/>
      </c>
      <c r="I319" s="205" t="str">
        <f>_xlfn.XLOOKUP($H319,'(backend scoring)'!$S$2:$S$333,'(backend scoring)'!$A$2:$A$333,"")</f>
        <v/>
      </c>
      <c r="J319" s="205" t="str">
        <f>IFERROR(VLOOKUP($I319,'Institution Evaluation'!$A$55:$F$345,2,0),IFERROR(VLOOKUP($I319,'Privacy Analyst Evaluation'!$A$46:$F$120,2,0),""))</f>
        <v/>
      </c>
      <c r="K319" s="205" t="str">
        <f>IFERROR(VLOOKUP($I319,'Institution Evaluation'!$A$55:$F$345,3,0),IFERROR(VLOOKUP($I319,'Privacy Analyst Evaluation'!$A$46:$F$120,3,0),""))&amp;""</f>
        <v/>
      </c>
      <c r="L319" s="205" t="str">
        <f>IFERROR(VLOOKUP($I319,'Institution Evaluation'!$A$55:$F$345,4,0),IFERROR(VLOOKUP($I319,'Privacy Analyst Evaluation'!$A$46:$F$120,4,0),""))&amp;""</f>
        <v/>
      </c>
      <c r="M319" s="205" t="str">
        <f>IFERROR(VLOOKUP($I319,'Institution Evaluation'!$A$55:$F$345,6,0),IFERROR(VLOOKUP($I319,'Privacy Analyst Evaluation'!$A$46:$F$120,6,0),""))&amp;""</f>
        <v/>
      </c>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row>
    <row r="320" spans="1:338" x14ac:dyDescent="0.3">
      <c r="A320" s="205" t="str">
        <f>IFERROR(IF($A319+1&gt;'(backend scoring)'!$T$335,"",$A319+1),"")</f>
        <v/>
      </c>
      <c r="B320" s="205" t="str">
        <f>_xlfn.XLOOKUP($A320,'(backend scoring)'!$V$2:$V$333,'(backend scoring)'!$A$2:$A$333,"")</f>
        <v/>
      </c>
      <c r="C320" s="205" t="str">
        <f>IFERROR(VLOOKUP($B320,'Institution Evaluation'!$A$55:$F$345,2,0),IFERROR(VLOOKUP($B320,'Privacy Analyst Evaluation'!$A$46:$F$120,2,0),""))&amp;""</f>
        <v/>
      </c>
      <c r="D320" s="205" t="str">
        <f>IFERROR(VLOOKUP($B320,'Institution Evaluation'!$A$55:$F$345,3,0),IFERROR(VLOOKUP($B320,'Privacy Analyst Evaluation'!$A$46:$F$120,3,0),""))&amp;""</f>
        <v/>
      </c>
      <c r="E320" s="205" t="str">
        <f>IFERROR(VLOOKUP($B320,'Institution Evaluation'!$A$55:$F$345,4,0),IFERROR(VLOOKUP($B320,'Privacy Analyst Evaluation'!$A$46:$F$120,4,0),""))&amp;""</f>
        <v/>
      </c>
      <c r="F320" s="205" t="str">
        <f>IFERROR(VLOOKUP($B320,'Institution Evaluation'!$A$55:$F$345,6,0),IFERROR(VLOOKUP($B320,'Privacy Analyst Evaluation'!$A$46:$F$120,6,0),""))&amp;""</f>
        <v/>
      </c>
      <c r="G320" s="206"/>
      <c r="H320" s="205" t="str">
        <f>IFERROR(IF($H319+1&gt;'(backend scoring)'!$Q$335,"",$H319+1),"")</f>
        <v/>
      </c>
      <c r="I320" s="205" t="str">
        <f>_xlfn.XLOOKUP($H320,'(backend scoring)'!$S$2:$S$333,'(backend scoring)'!$A$2:$A$333,"")</f>
        <v/>
      </c>
      <c r="J320" s="205" t="str">
        <f>IFERROR(VLOOKUP($I320,'Institution Evaluation'!$A$55:$F$345,2,0),IFERROR(VLOOKUP($I320,'Privacy Analyst Evaluation'!$A$46:$F$120,2,0),""))</f>
        <v/>
      </c>
      <c r="K320" s="205" t="str">
        <f>IFERROR(VLOOKUP($I320,'Institution Evaluation'!$A$55:$F$345,3,0),IFERROR(VLOOKUP($I320,'Privacy Analyst Evaluation'!$A$46:$F$120,3,0),""))&amp;""</f>
        <v/>
      </c>
      <c r="L320" s="205" t="str">
        <f>IFERROR(VLOOKUP($I320,'Institution Evaluation'!$A$55:$F$345,4,0),IFERROR(VLOOKUP($I320,'Privacy Analyst Evaluation'!$A$46:$F$120,4,0),""))&amp;""</f>
        <v/>
      </c>
      <c r="M320" s="205" t="str">
        <f>IFERROR(VLOOKUP($I320,'Institution Evaluation'!$A$55:$F$345,6,0),IFERROR(VLOOKUP($I320,'Privacy Analyst Evaluation'!$A$46:$F$120,6,0),""))&amp;""</f>
        <v/>
      </c>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row>
    <row r="321" spans="1:338" x14ac:dyDescent="0.3">
      <c r="A321" s="205" t="str">
        <f>IFERROR(IF($A320+1&gt;'(backend scoring)'!$T$335,"",$A320+1),"")</f>
        <v/>
      </c>
      <c r="B321" s="205" t="str">
        <f>_xlfn.XLOOKUP($A321,'(backend scoring)'!$V$2:$V$333,'(backend scoring)'!$A$2:$A$333,"")</f>
        <v/>
      </c>
      <c r="C321" s="205" t="str">
        <f>IFERROR(VLOOKUP($B321,'Institution Evaluation'!$A$55:$F$345,2,0),IFERROR(VLOOKUP($B321,'Privacy Analyst Evaluation'!$A$46:$F$120,2,0),""))&amp;""</f>
        <v/>
      </c>
      <c r="D321" s="205" t="str">
        <f>IFERROR(VLOOKUP($B321,'Institution Evaluation'!$A$55:$F$345,3,0),IFERROR(VLOOKUP($B321,'Privacy Analyst Evaluation'!$A$46:$F$120,3,0),""))&amp;""</f>
        <v/>
      </c>
      <c r="E321" s="205" t="str">
        <f>IFERROR(VLOOKUP($B321,'Institution Evaluation'!$A$55:$F$345,4,0),IFERROR(VLOOKUP($B321,'Privacy Analyst Evaluation'!$A$46:$F$120,4,0),""))&amp;""</f>
        <v/>
      </c>
      <c r="F321" s="205" t="str">
        <f>IFERROR(VLOOKUP($B321,'Institution Evaluation'!$A$55:$F$345,6,0),IFERROR(VLOOKUP($B321,'Privacy Analyst Evaluation'!$A$46:$F$120,6,0),""))&amp;""</f>
        <v/>
      </c>
      <c r="G321" s="206"/>
      <c r="H321" s="205" t="str">
        <f>IFERROR(IF($H320+1&gt;'(backend scoring)'!$Q$335,"",$H320+1),"")</f>
        <v/>
      </c>
      <c r="I321" s="205" t="str">
        <f>_xlfn.XLOOKUP($H321,'(backend scoring)'!$S$2:$S$333,'(backend scoring)'!$A$2:$A$333,"")</f>
        <v/>
      </c>
      <c r="J321" s="205" t="str">
        <f>IFERROR(VLOOKUP($I321,'Institution Evaluation'!$A$55:$F$345,2,0),IFERROR(VLOOKUP($I321,'Privacy Analyst Evaluation'!$A$46:$F$120,2,0),""))</f>
        <v/>
      </c>
      <c r="K321" s="205" t="str">
        <f>IFERROR(VLOOKUP($I321,'Institution Evaluation'!$A$55:$F$345,3,0),IFERROR(VLOOKUP($I321,'Privacy Analyst Evaluation'!$A$46:$F$120,3,0),""))&amp;""</f>
        <v/>
      </c>
      <c r="L321" s="205" t="str">
        <f>IFERROR(VLOOKUP($I321,'Institution Evaluation'!$A$55:$F$345,4,0),IFERROR(VLOOKUP($I321,'Privacy Analyst Evaluation'!$A$46:$F$120,4,0),""))&amp;""</f>
        <v/>
      </c>
      <c r="M321" s="205" t="str">
        <f>IFERROR(VLOOKUP($I321,'Institution Evaluation'!$A$55:$F$345,6,0),IFERROR(VLOOKUP($I321,'Privacy Analyst Evaluation'!$A$46:$F$120,6,0),""))&amp;""</f>
        <v/>
      </c>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row>
    <row r="322" spans="1:338" x14ac:dyDescent="0.3">
      <c r="A322" s="205" t="str">
        <f>IFERROR(IF($A321+1&gt;'(backend scoring)'!$T$335,"",$A321+1),"")</f>
        <v/>
      </c>
      <c r="B322" s="205" t="str">
        <f>_xlfn.XLOOKUP($A322,'(backend scoring)'!$V$2:$V$333,'(backend scoring)'!$A$2:$A$333,"")</f>
        <v/>
      </c>
      <c r="C322" s="205" t="str">
        <f>IFERROR(VLOOKUP($B322,'Institution Evaluation'!$A$55:$F$345,2,0),IFERROR(VLOOKUP($B322,'Privacy Analyst Evaluation'!$A$46:$F$120,2,0),""))&amp;""</f>
        <v/>
      </c>
      <c r="D322" s="205" t="str">
        <f>IFERROR(VLOOKUP($B322,'Institution Evaluation'!$A$55:$F$345,3,0),IFERROR(VLOOKUP($B322,'Privacy Analyst Evaluation'!$A$46:$F$120,3,0),""))&amp;""</f>
        <v/>
      </c>
      <c r="E322" s="205" t="str">
        <f>IFERROR(VLOOKUP($B322,'Institution Evaluation'!$A$55:$F$345,4,0),IFERROR(VLOOKUP($B322,'Privacy Analyst Evaluation'!$A$46:$F$120,4,0),""))&amp;""</f>
        <v/>
      </c>
      <c r="F322" s="205" t="str">
        <f>IFERROR(VLOOKUP($B322,'Institution Evaluation'!$A$55:$F$345,6,0),IFERROR(VLOOKUP($B322,'Privacy Analyst Evaluation'!$A$46:$F$120,6,0),""))&amp;""</f>
        <v/>
      </c>
      <c r="G322" s="206"/>
      <c r="H322" s="205" t="str">
        <f>IFERROR(IF($H321+1&gt;'(backend scoring)'!$Q$335,"",$H321+1),"")</f>
        <v/>
      </c>
      <c r="I322" s="205" t="str">
        <f>_xlfn.XLOOKUP($H322,'(backend scoring)'!$S$2:$S$333,'(backend scoring)'!$A$2:$A$333,"")</f>
        <v/>
      </c>
      <c r="J322" s="205" t="str">
        <f>IFERROR(VLOOKUP($I322,'Institution Evaluation'!$A$55:$F$345,2,0),IFERROR(VLOOKUP($I322,'Privacy Analyst Evaluation'!$A$46:$F$120,2,0),""))</f>
        <v/>
      </c>
      <c r="K322" s="205" t="str">
        <f>IFERROR(VLOOKUP($I322,'Institution Evaluation'!$A$55:$F$345,3,0),IFERROR(VLOOKUP($I322,'Privacy Analyst Evaluation'!$A$46:$F$120,3,0),""))&amp;""</f>
        <v/>
      </c>
      <c r="L322" s="205" t="str">
        <f>IFERROR(VLOOKUP($I322,'Institution Evaluation'!$A$55:$F$345,4,0),IFERROR(VLOOKUP($I322,'Privacy Analyst Evaluation'!$A$46:$F$120,4,0),""))&amp;""</f>
        <v/>
      </c>
      <c r="M322" s="205" t="str">
        <f>IFERROR(VLOOKUP($I322,'Institution Evaluation'!$A$55:$F$345,6,0),IFERROR(VLOOKUP($I322,'Privacy Analyst Evaluation'!$A$46:$F$120,6,0),""))&amp;""</f>
        <v/>
      </c>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row>
    <row r="323" spans="1:338" x14ac:dyDescent="0.3">
      <c r="A323" s="205" t="str">
        <f>IFERROR(IF($A322+1&gt;'(backend scoring)'!$T$335,"",$A322+1),"")</f>
        <v/>
      </c>
      <c r="B323" s="205" t="str">
        <f>_xlfn.XLOOKUP($A323,'(backend scoring)'!$V$2:$V$333,'(backend scoring)'!$A$2:$A$333,"")</f>
        <v/>
      </c>
      <c r="C323" s="205" t="str">
        <f>IFERROR(VLOOKUP($B323,'Institution Evaluation'!$A$55:$F$345,2,0),IFERROR(VLOOKUP($B323,'Privacy Analyst Evaluation'!$A$46:$F$120,2,0),""))&amp;""</f>
        <v/>
      </c>
      <c r="D323" s="205" t="str">
        <f>IFERROR(VLOOKUP($B323,'Institution Evaluation'!$A$55:$F$345,3,0),IFERROR(VLOOKUP($B323,'Privacy Analyst Evaluation'!$A$46:$F$120,3,0),""))&amp;""</f>
        <v/>
      </c>
      <c r="E323" s="205" t="str">
        <f>IFERROR(VLOOKUP($B323,'Institution Evaluation'!$A$55:$F$345,4,0),IFERROR(VLOOKUP($B323,'Privacy Analyst Evaluation'!$A$46:$F$120,4,0),""))&amp;""</f>
        <v/>
      </c>
      <c r="F323" s="205" t="str">
        <f>IFERROR(VLOOKUP($B323,'Institution Evaluation'!$A$55:$F$345,6,0),IFERROR(VLOOKUP($B323,'Privacy Analyst Evaluation'!$A$46:$F$120,6,0),""))&amp;""</f>
        <v/>
      </c>
      <c r="G323" s="206"/>
      <c r="H323" s="205" t="str">
        <f>IFERROR(IF($H322+1&gt;'(backend scoring)'!$Q$335,"",$H322+1),"")</f>
        <v/>
      </c>
      <c r="I323" s="205" t="str">
        <f>_xlfn.XLOOKUP($H323,'(backend scoring)'!$S$2:$S$333,'(backend scoring)'!$A$2:$A$333,"")</f>
        <v/>
      </c>
      <c r="J323" s="205" t="str">
        <f>IFERROR(VLOOKUP($I323,'Institution Evaluation'!$A$55:$F$345,2,0),IFERROR(VLOOKUP($I323,'Privacy Analyst Evaluation'!$A$46:$F$120,2,0),""))</f>
        <v/>
      </c>
      <c r="K323" s="205" t="str">
        <f>IFERROR(VLOOKUP($I323,'Institution Evaluation'!$A$55:$F$345,3,0),IFERROR(VLOOKUP($I323,'Privacy Analyst Evaluation'!$A$46:$F$120,3,0),""))&amp;""</f>
        <v/>
      </c>
      <c r="L323" s="205" t="str">
        <f>IFERROR(VLOOKUP($I323,'Institution Evaluation'!$A$55:$F$345,4,0),IFERROR(VLOOKUP($I323,'Privacy Analyst Evaluation'!$A$46:$F$120,4,0),""))&amp;""</f>
        <v/>
      </c>
      <c r="M323" s="205" t="str">
        <f>IFERROR(VLOOKUP($I323,'Institution Evaluation'!$A$55:$F$345,6,0),IFERROR(VLOOKUP($I323,'Privacy Analyst Evaluation'!$A$46:$F$120,6,0),""))&amp;""</f>
        <v/>
      </c>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row>
    <row r="324" spans="1:338" x14ac:dyDescent="0.3">
      <c r="A324" s="205" t="str">
        <f>IFERROR(IF($A323+1&gt;'(backend scoring)'!$T$335,"",$A323+1),"")</f>
        <v/>
      </c>
      <c r="B324" s="205" t="str">
        <f>_xlfn.XLOOKUP($A324,'(backend scoring)'!$V$2:$V$333,'(backend scoring)'!$A$2:$A$333,"")</f>
        <v/>
      </c>
      <c r="C324" s="205" t="str">
        <f>IFERROR(VLOOKUP($B324,'Institution Evaluation'!$A$55:$F$345,2,0),IFERROR(VLOOKUP($B324,'Privacy Analyst Evaluation'!$A$46:$F$120,2,0),""))&amp;""</f>
        <v/>
      </c>
      <c r="D324" s="205" t="str">
        <f>IFERROR(VLOOKUP($B324,'Institution Evaluation'!$A$55:$F$345,3,0),IFERROR(VLOOKUP($B324,'Privacy Analyst Evaluation'!$A$46:$F$120,3,0),""))&amp;""</f>
        <v/>
      </c>
      <c r="E324" s="205" t="str">
        <f>IFERROR(VLOOKUP($B324,'Institution Evaluation'!$A$55:$F$345,4,0),IFERROR(VLOOKUP($B324,'Privacy Analyst Evaluation'!$A$46:$F$120,4,0),""))&amp;""</f>
        <v/>
      </c>
      <c r="F324" s="205" t="str">
        <f>IFERROR(VLOOKUP($B324,'Institution Evaluation'!$A$55:$F$345,6,0),IFERROR(VLOOKUP($B324,'Privacy Analyst Evaluation'!$A$46:$F$120,6,0),""))&amp;""</f>
        <v/>
      </c>
      <c r="G324" s="206"/>
      <c r="H324" s="205" t="str">
        <f>IFERROR(IF($H323+1&gt;'(backend scoring)'!$Q$335,"",$H323+1),"")</f>
        <v/>
      </c>
      <c r="I324" s="205" t="str">
        <f>_xlfn.XLOOKUP($H324,'(backend scoring)'!$S$2:$S$333,'(backend scoring)'!$A$2:$A$333,"")</f>
        <v/>
      </c>
      <c r="J324" s="205" t="str">
        <f>IFERROR(VLOOKUP($I324,'Institution Evaluation'!$A$55:$F$345,2,0),IFERROR(VLOOKUP($I324,'Privacy Analyst Evaluation'!$A$46:$F$120,2,0),""))</f>
        <v/>
      </c>
      <c r="K324" s="205" t="str">
        <f>IFERROR(VLOOKUP($I324,'Institution Evaluation'!$A$55:$F$345,3,0),IFERROR(VLOOKUP($I324,'Privacy Analyst Evaluation'!$A$46:$F$120,3,0),""))&amp;""</f>
        <v/>
      </c>
      <c r="L324" s="205" t="str">
        <f>IFERROR(VLOOKUP($I324,'Institution Evaluation'!$A$55:$F$345,4,0),IFERROR(VLOOKUP($I324,'Privacy Analyst Evaluation'!$A$46:$F$120,4,0),""))&amp;""</f>
        <v/>
      </c>
      <c r="M324" s="205" t="str">
        <f>IFERROR(VLOOKUP($I324,'Institution Evaluation'!$A$55:$F$345,6,0),IFERROR(VLOOKUP($I324,'Privacy Analyst Evaluation'!$A$46:$F$120,6,0),""))&amp;""</f>
        <v/>
      </c>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row>
    <row r="325" spans="1:338" x14ac:dyDescent="0.3">
      <c r="A325" s="205" t="str">
        <f>IFERROR(IF($A324+1&gt;'(backend scoring)'!$T$335,"",$A324+1),"")</f>
        <v/>
      </c>
      <c r="B325" s="205" t="str">
        <f>_xlfn.XLOOKUP($A325,'(backend scoring)'!$V$2:$V$333,'(backend scoring)'!$A$2:$A$333,"")</f>
        <v/>
      </c>
      <c r="C325" s="205" t="str">
        <f>IFERROR(VLOOKUP($B325,'Institution Evaluation'!$A$55:$F$345,2,0),IFERROR(VLOOKUP($B325,'Privacy Analyst Evaluation'!$A$46:$F$120,2,0),""))&amp;""</f>
        <v/>
      </c>
      <c r="D325" s="205" t="str">
        <f>IFERROR(VLOOKUP($B325,'Institution Evaluation'!$A$55:$F$345,3,0),IFERROR(VLOOKUP($B325,'Privacy Analyst Evaluation'!$A$46:$F$120,3,0),""))&amp;""</f>
        <v/>
      </c>
      <c r="E325" s="205" t="str">
        <f>IFERROR(VLOOKUP($B325,'Institution Evaluation'!$A$55:$F$345,4,0),IFERROR(VLOOKUP($B325,'Privacy Analyst Evaluation'!$A$46:$F$120,4,0),""))&amp;""</f>
        <v/>
      </c>
      <c r="F325" s="205" t="str">
        <f>IFERROR(VLOOKUP($B325,'Institution Evaluation'!$A$55:$F$345,6,0),IFERROR(VLOOKUP($B325,'Privacy Analyst Evaluation'!$A$46:$F$120,6,0),""))&amp;""</f>
        <v/>
      </c>
      <c r="G325" s="206"/>
      <c r="H325" s="205" t="str">
        <f>IFERROR(IF($H324+1&gt;'(backend scoring)'!$Q$335,"",$H324+1),"")</f>
        <v/>
      </c>
      <c r="I325" s="205" t="str">
        <f>_xlfn.XLOOKUP($H325,'(backend scoring)'!$S$2:$S$333,'(backend scoring)'!$A$2:$A$333,"")</f>
        <v/>
      </c>
      <c r="J325" s="205" t="str">
        <f>IFERROR(VLOOKUP($I325,'Institution Evaluation'!$A$55:$F$345,2,0),IFERROR(VLOOKUP($I325,'Privacy Analyst Evaluation'!$A$46:$F$120,2,0),""))</f>
        <v/>
      </c>
      <c r="K325" s="205" t="str">
        <f>IFERROR(VLOOKUP($I325,'Institution Evaluation'!$A$55:$F$345,3,0),IFERROR(VLOOKUP($I325,'Privacy Analyst Evaluation'!$A$46:$F$120,3,0),""))&amp;""</f>
        <v/>
      </c>
      <c r="L325" s="205" t="str">
        <f>IFERROR(VLOOKUP($I325,'Institution Evaluation'!$A$55:$F$345,4,0),IFERROR(VLOOKUP($I325,'Privacy Analyst Evaluation'!$A$46:$F$120,4,0),""))&amp;""</f>
        <v/>
      </c>
      <c r="M325" s="205" t="str">
        <f>IFERROR(VLOOKUP($I325,'Institution Evaluation'!$A$55:$F$345,6,0),IFERROR(VLOOKUP($I325,'Privacy Analyst Evaluation'!$A$46:$F$120,6,0),""))&amp;""</f>
        <v/>
      </c>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row>
    <row r="326" spans="1:338" x14ac:dyDescent="0.3">
      <c r="A326" s="205" t="str">
        <f>IFERROR(IF($A325+1&gt;'(backend scoring)'!$T$335,"",$A325+1),"")</f>
        <v/>
      </c>
      <c r="B326" s="205" t="str">
        <f>_xlfn.XLOOKUP($A326,'(backend scoring)'!$V$2:$V$333,'(backend scoring)'!$A$2:$A$333,"")</f>
        <v/>
      </c>
      <c r="C326" s="205" t="str">
        <f>IFERROR(VLOOKUP($B326,'Institution Evaluation'!$A$55:$F$345,2,0),IFERROR(VLOOKUP($B326,'Privacy Analyst Evaluation'!$A$46:$F$120,2,0),""))&amp;""</f>
        <v/>
      </c>
      <c r="D326" s="205" t="str">
        <f>IFERROR(VLOOKUP($B326,'Institution Evaluation'!$A$55:$F$345,3,0),IFERROR(VLOOKUP($B326,'Privacy Analyst Evaluation'!$A$46:$F$120,3,0),""))&amp;""</f>
        <v/>
      </c>
      <c r="E326" s="205" t="str">
        <f>IFERROR(VLOOKUP($B326,'Institution Evaluation'!$A$55:$F$345,4,0),IFERROR(VLOOKUP($B326,'Privacy Analyst Evaluation'!$A$46:$F$120,4,0),""))&amp;""</f>
        <v/>
      </c>
      <c r="F326" s="205" t="str">
        <f>IFERROR(VLOOKUP($B326,'Institution Evaluation'!$A$55:$F$345,6,0),IFERROR(VLOOKUP($B326,'Privacy Analyst Evaluation'!$A$46:$F$120,6,0),""))&amp;""</f>
        <v/>
      </c>
      <c r="G326" s="206"/>
      <c r="H326" s="205" t="str">
        <f>IFERROR(IF($H325+1&gt;'(backend scoring)'!$Q$335,"",$H325+1),"")</f>
        <v/>
      </c>
      <c r="I326" s="205" t="str">
        <f>_xlfn.XLOOKUP($H326,'(backend scoring)'!$S$2:$S$333,'(backend scoring)'!$A$2:$A$333,"")</f>
        <v/>
      </c>
      <c r="J326" s="205" t="str">
        <f>IFERROR(VLOOKUP($I326,'Institution Evaluation'!$A$55:$F$345,2,0),IFERROR(VLOOKUP($I326,'Privacy Analyst Evaluation'!$A$46:$F$120,2,0),""))</f>
        <v/>
      </c>
      <c r="K326" s="205" t="str">
        <f>IFERROR(VLOOKUP($I326,'Institution Evaluation'!$A$55:$F$345,3,0),IFERROR(VLOOKUP($I326,'Privacy Analyst Evaluation'!$A$46:$F$120,3,0),""))&amp;""</f>
        <v/>
      </c>
      <c r="L326" s="205" t="str">
        <f>IFERROR(VLOOKUP($I326,'Institution Evaluation'!$A$55:$F$345,4,0),IFERROR(VLOOKUP($I326,'Privacy Analyst Evaluation'!$A$46:$F$120,4,0),""))&amp;""</f>
        <v/>
      </c>
      <c r="M326" s="205" t="str">
        <f>IFERROR(VLOOKUP($I326,'Institution Evaluation'!$A$55:$F$345,6,0),IFERROR(VLOOKUP($I326,'Privacy Analyst Evaluation'!$A$46:$F$120,6,0),""))&amp;""</f>
        <v/>
      </c>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row>
    <row r="327" spans="1:338" x14ac:dyDescent="0.3">
      <c r="A327" s="205" t="str">
        <f>IFERROR(IF($A326+1&gt;'(backend scoring)'!$T$335,"",$A326+1),"")</f>
        <v/>
      </c>
      <c r="B327" s="205" t="str">
        <f>_xlfn.XLOOKUP($A327,'(backend scoring)'!$V$2:$V$333,'(backend scoring)'!$A$2:$A$333,"")</f>
        <v/>
      </c>
      <c r="C327" s="205" t="str">
        <f>IFERROR(VLOOKUP($B327,'Institution Evaluation'!$A$55:$F$345,2,0),IFERROR(VLOOKUP($B327,'Privacy Analyst Evaluation'!$A$46:$F$120,2,0),""))&amp;""</f>
        <v/>
      </c>
      <c r="D327" s="205" t="str">
        <f>IFERROR(VLOOKUP($B327,'Institution Evaluation'!$A$55:$F$345,3,0),IFERROR(VLOOKUP($B327,'Privacy Analyst Evaluation'!$A$46:$F$120,3,0),""))&amp;""</f>
        <v/>
      </c>
      <c r="E327" s="205" t="str">
        <f>IFERROR(VLOOKUP($B327,'Institution Evaluation'!$A$55:$F$345,4,0),IFERROR(VLOOKUP($B327,'Privacy Analyst Evaluation'!$A$46:$F$120,4,0),""))&amp;""</f>
        <v/>
      </c>
      <c r="F327" s="205" t="str">
        <f>IFERROR(VLOOKUP($B327,'Institution Evaluation'!$A$55:$F$345,6,0),IFERROR(VLOOKUP($B327,'Privacy Analyst Evaluation'!$A$46:$F$120,6,0),""))&amp;""</f>
        <v/>
      </c>
      <c r="G327" s="206"/>
      <c r="H327" s="205" t="str">
        <f>IFERROR(IF($H326+1&gt;'(backend scoring)'!$Q$335,"",$H326+1),"")</f>
        <v/>
      </c>
      <c r="I327" s="205" t="str">
        <f>_xlfn.XLOOKUP($H327,'(backend scoring)'!$S$2:$S$333,'(backend scoring)'!$A$2:$A$333,"")</f>
        <v/>
      </c>
      <c r="J327" s="205" t="str">
        <f>IFERROR(VLOOKUP($I327,'Institution Evaluation'!$A$55:$F$345,2,0),IFERROR(VLOOKUP($I327,'Privacy Analyst Evaluation'!$A$46:$F$120,2,0),""))</f>
        <v/>
      </c>
      <c r="K327" s="205" t="str">
        <f>IFERROR(VLOOKUP($I327,'Institution Evaluation'!$A$55:$F$345,3,0),IFERROR(VLOOKUP($I327,'Privacy Analyst Evaluation'!$A$46:$F$120,3,0),""))&amp;""</f>
        <v/>
      </c>
      <c r="L327" s="205" t="str">
        <f>IFERROR(VLOOKUP($I327,'Institution Evaluation'!$A$55:$F$345,4,0),IFERROR(VLOOKUP($I327,'Privacy Analyst Evaluation'!$A$46:$F$120,4,0),""))&amp;""</f>
        <v/>
      </c>
      <c r="M327" s="205" t="str">
        <f>IFERROR(VLOOKUP($I327,'Institution Evaluation'!$A$55:$F$345,6,0),IFERROR(VLOOKUP($I327,'Privacy Analyst Evaluation'!$A$46:$F$120,6,0),""))&amp;""</f>
        <v/>
      </c>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row>
    <row r="328" spans="1:338" x14ac:dyDescent="0.3">
      <c r="A328" s="205" t="str">
        <f>IFERROR(IF($A327+1&gt;'(backend scoring)'!$T$335,"",$A327+1),"")</f>
        <v/>
      </c>
      <c r="B328" s="205" t="str">
        <f>_xlfn.XLOOKUP($A328,'(backend scoring)'!$V$2:$V$333,'(backend scoring)'!$A$2:$A$333,"")</f>
        <v/>
      </c>
      <c r="C328" s="205" t="str">
        <f>IFERROR(VLOOKUP($B328,'Institution Evaluation'!$A$55:$F$345,2,0),IFERROR(VLOOKUP($B328,'Privacy Analyst Evaluation'!$A$46:$F$120,2,0),""))&amp;""</f>
        <v/>
      </c>
      <c r="D328" s="205" t="str">
        <f>IFERROR(VLOOKUP($B328,'Institution Evaluation'!$A$55:$F$345,3,0),IFERROR(VLOOKUP($B328,'Privacy Analyst Evaluation'!$A$46:$F$120,3,0),""))&amp;""</f>
        <v/>
      </c>
      <c r="E328" s="205" t="str">
        <f>IFERROR(VLOOKUP($B328,'Institution Evaluation'!$A$55:$F$345,4,0),IFERROR(VLOOKUP($B328,'Privacy Analyst Evaluation'!$A$46:$F$120,4,0),""))&amp;""</f>
        <v/>
      </c>
      <c r="F328" s="205" t="str">
        <f>IFERROR(VLOOKUP($B328,'Institution Evaluation'!$A$55:$F$345,6,0),IFERROR(VLOOKUP($B328,'Privacy Analyst Evaluation'!$A$46:$F$120,6,0),""))&amp;""</f>
        <v/>
      </c>
      <c r="G328" s="206"/>
      <c r="H328" s="205" t="str">
        <f>IFERROR(IF($H327+1&gt;'(backend scoring)'!$Q$335,"",$H327+1),"")</f>
        <v/>
      </c>
      <c r="I328" s="205" t="str">
        <f>_xlfn.XLOOKUP($H328,'(backend scoring)'!$S$2:$S$333,'(backend scoring)'!$A$2:$A$333,"")</f>
        <v/>
      </c>
      <c r="J328" s="205" t="str">
        <f>IFERROR(VLOOKUP($I328,'Institution Evaluation'!$A$55:$F$345,2,0),IFERROR(VLOOKUP($I328,'Privacy Analyst Evaluation'!$A$46:$F$120,2,0),""))</f>
        <v/>
      </c>
      <c r="K328" s="205" t="str">
        <f>IFERROR(VLOOKUP($I328,'Institution Evaluation'!$A$55:$F$345,3,0),IFERROR(VLOOKUP($I328,'Privacy Analyst Evaluation'!$A$46:$F$120,3,0),""))&amp;""</f>
        <v/>
      </c>
      <c r="L328" s="205" t="str">
        <f>IFERROR(VLOOKUP($I328,'Institution Evaluation'!$A$55:$F$345,4,0),IFERROR(VLOOKUP($I328,'Privacy Analyst Evaluation'!$A$46:$F$120,4,0),""))&amp;""</f>
        <v/>
      </c>
      <c r="M328" s="205" t="str">
        <f>IFERROR(VLOOKUP($I328,'Institution Evaluation'!$A$55:$F$345,6,0),IFERROR(VLOOKUP($I328,'Privacy Analyst Evaluation'!$A$46:$F$120,6,0),""))&amp;""</f>
        <v/>
      </c>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row>
    <row r="329" spans="1:338" x14ac:dyDescent="0.3">
      <c r="A329" s="205" t="str">
        <f>IFERROR(IF($A328+1&gt;'(backend scoring)'!$T$335,"",$A328+1),"")</f>
        <v/>
      </c>
      <c r="B329" s="205" t="str">
        <f>_xlfn.XLOOKUP($A329,'(backend scoring)'!$V$2:$V$333,'(backend scoring)'!$A$2:$A$333,"")</f>
        <v/>
      </c>
      <c r="C329" s="205" t="str">
        <f>IFERROR(VLOOKUP($B329,'Institution Evaluation'!$A$55:$F$345,2,0),IFERROR(VLOOKUP($B329,'Privacy Analyst Evaluation'!$A$46:$F$120,2,0),""))&amp;""</f>
        <v/>
      </c>
      <c r="D329" s="205" t="str">
        <f>IFERROR(VLOOKUP($B329,'Institution Evaluation'!$A$55:$F$345,3,0),IFERROR(VLOOKUP($B329,'Privacy Analyst Evaluation'!$A$46:$F$120,3,0),""))&amp;""</f>
        <v/>
      </c>
      <c r="E329" s="205" t="str">
        <f>IFERROR(VLOOKUP($B329,'Institution Evaluation'!$A$55:$F$345,4,0),IFERROR(VLOOKUP($B329,'Privacy Analyst Evaluation'!$A$46:$F$120,4,0),""))&amp;""</f>
        <v/>
      </c>
      <c r="F329" s="205" t="str">
        <f>IFERROR(VLOOKUP($B329,'Institution Evaluation'!$A$55:$F$345,6,0),IFERROR(VLOOKUP($B329,'Privacy Analyst Evaluation'!$A$46:$F$120,6,0),""))&amp;""</f>
        <v/>
      </c>
      <c r="G329" s="206"/>
      <c r="H329" s="205" t="str">
        <f>IFERROR(IF($H328+1&gt;'(backend scoring)'!$Q$335,"",$H328+1),"")</f>
        <v/>
      </c>
      <c r="I329" s="205" t="str">
        <f>_xlfn.XLOOKUP($H329,'(backend scoring)'!$S$2:$S$333,'(backend scoring)'!$A$2:$A$333,"")</f>
        <v/>
      </c>
      <c r="J329" s="205" t="str">
        <f>IFERROR(VLOOKUP($I329,'Institution Evaluation'!$A$55:$F$345,2,0),IFERROR(VLOOKUP($I329,'Privacy Analyst Evaluation'!$A$46:$F$120,2,0),""))</f>
        <v/>
      </c>
      <c r="K329" s="205" t="str">
        <f>IFERROR(VLOOKUP($I329,'Institution Evaluation'!$A$55:$F$345,3,0),IFERROR(VLOOKUP($I329,'Privacy Analyst Evaluation'!$A$46:$F$120,3,0),""))&amp;""</f>
        <v/>
      </c>
      <c r="L329" s="205" t="str">
        <f>IFERROR(VLOOKUP($I329,'Institution Evaluation'!$A$55:$F$345,4,0),IFERROR(VLOOKUP($I329,'Privacy Analyst Evaluation'!$A$46:$F$120,4,0),""))&amp;""</f>
        <v/>
      </c>
      <c r="M329" s="205" t="str">
        <f>IFERROR(VLOOKUP($I329,'Institution Evaluation'!$A$55:$F$345,6,0),IFERROR(VLOOKUP($I329,'Privacy Analyst Evaluation'!$A$46:$F$120,6,0),""))&amp;""</f>
        <v/>
      </c>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row>
    <row r="330" spans="1:338" x14ac:dyDescent="0.3">
      <c r="A330" s="205" t="str">
        <f>IFERROR(IF($A329+1&gt;'(backend scoring)'!$T$335,"",$A329+1),"")</f>
        <v/>
      </c>
      <c r="B330" s="205" t="str">
        <f>_xlfn.XLOOKUP($A330,'(backend scoring)'!$V$2:$V$333,'(backend scoring)'!$A$2:$A$333,"")</f>
        <v/>
      </c>
      <c r="C330" s="205" t="str">
        <f>IFERROR(VLOOKUP($B330,'Institution Evaluation'!$A$55:$F$345,2,0),IFERROR(VLOOKUP($B330,'Privacy Analyst Evaluation'!$A$46:$F$120,2,0),""))&amp;""</f>
        <v/>
      </c>
      <c r="D330" s="205" t="str">
        <f>IFERROR(VLOOKUP($B330,'Institution Evaluation'!$A$55:$F$345,3,0),IFERROR(VLOOKUP($B330,'Privacy Analyst Evaluation'!$A$46:$F$120,3,0),""))&amp;""</f>
        <v/>
      </c>
      <c r="E330" s="205" t="str">
        <f>IFERROR(VLOOKUP($B330,'Institution Evaluation'!$A$55:$F$345,4,0),IFERROR(VLOOKUP($B330,'Privacy Analyst Evaluation'!$A$46:$F$120,4,0),""))&amp;""</f>
        <v/>
      </c>
      <c r="F330" s="205" t="str">
        <f>IFERROR(VLOOKUP($B330,'Institution Evaluation'!$A$55:$F$345,6,0),IFERROR(VLOOKUP($B330,'Privacy Analyst Evaluation'!$A$46:$F$120,6,0),""))&amp;""</f>
        <v/>
      </c>
      <c r="G330" s="206"/>
      <c r="H330" s="205" t="str">
        <f>IFERROR(IF($H329+1&gt;'(backend scoring)'!$Q$335,"",$H329+1),"")</f>
        <v/>
      </c>
      <c r="I330" s="205" t="str">
        <f>_xlfn.XLOOKUP($H330,'(backend scoring)'!$S$2:$S$333,'(backend scoring)'!$A$2:$A$333,"")</f>
        <v/>
      </c>
      <c r="J330" s="205" t="str">
        <f>IFERROR(VLOOKUP($I330,'Institution Evaluation'!$A$55:$F$345,2,0),IFERROR(VLOOKUP($I330,'Privacy Analyst Evaluation'!$A$46:$F$120,2,0),""))</f>
        <v/>
      </c>
      <c r="K330" s="205" t="str">
        <f>IFERROR(VLOOKUP($I330,'Institution Evaluation'!$A$55:$F$345,3,0),IFERROR(VLOOKUP($I330,'Privacy Analyst Evaluation'!$A$46:$F$120,3,0),""))&amp;""</f>
        <v/>
      </c>
      <c r="L330" s="205" t="str">
        <f>IFERROR(VLOOKUP($I330,'Institution Evaluation'!$A$55:$F$345,4,0),IFERROR(VLOOKUP($I330,'Privacy Analyst Evaluation'!$A$46:$F$120,4,0),""))&amp;""</f>
        <v/>
      </c>
      <c r="M330" s="205" t="str">
        <f>IFERROR(VLOOKUP($I330,'Institution Evaluation'!$A$55:$F$345,6,0),IFERROR(VLOOKUP($I330,'Privacy Analyst Evaluation'!$A$46:$F$120,6,0),""))&amp;""</f>
        <v/>
      </c>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row>
    <row r="331" spans="1:338" x14ac:dyDescent="0.3">
      <c r="A331" s="205" t="str">
        <f>IFERROR(IF($A330+1&gt;'(backend scoring)'!$T$335,"",$A330+1),"")</f>
        <v/>
      </c>
      <c r="B331" s="205" t="str">
        <f>_xlfn.XLOOKUP($A331,'(backend scoring)'!$V$2:$V$333,'(backend scoring)'!$A$2:$A$333,"")</f>
        <v/>
      </c>
      <c r="C331" s="205" t="str">
        <f>IFERROR(VLOOKUP($B331,'Institution Evaluation'!$A$55:$F$345,2,0),IFERROR(VLOOKUP($B331,'Privacy Analyst Evaluation'!$A$46:$F$120,2,0),""))&amp;""</f>
        <v/>
      </c>
      <c r="D331" s="205" t="str">
        <f>IFERROR(VLOOKUP($B331,'Institution Evaluation'!$A$55:$F$345,3,0),IFERROR(VLOOKUP($B331,'Privacy Analyst Evaluation'!$A$46:$F$120,3,0),""))&amp;""</f>
        <v/>
      </c>
      <c r="E331" s="205" t="str">
        <f>IFERROR(VLOOKUP($B331,'Institution Evaluation'!$A$55:$F$345,4,0),IFERROR(VLOOKUP($B331,'Privacy Analyst Evaluation'!$A$46:$F$120,4,0),""))&amp;""</f>
        <v/>
      </c>
      <c r="F331" s="205" t="str">
        <f>IFERROR(VLOOKUP($B331,'Institution Evaluation'!$A$55:$F$345,6,0),IFERROR(VLOOKUP($B331,'Privacy Analyst Evaluation'!$A$46:$F$120,6,0),""))&amp;""</f>
        <v/>
      </c>
      <c r="G331" s="206"/>
      <c r="H331" s="205" t="str">
        <f>IFERROR(IF($H330+1&gt;'(backend scoring)'!$Q$335,"",$H330+1),"")</f>
        <v/>
      </c>
      <c r="I331" s="205" t="str">
        <f>_xlfn.XLOOKUP($H331,'(backend scoring)'!$S$2:$S$333,'(backend scoring)'!$A$2:$A$333,"")</f>
        <v/>
      </c>
      <c r="J331" s="205" t="str">
        <f>IFERROR(VLOOKUP($I331,'Institution Evaluation'!$A$55:$F$345,2,0),IFERROR(VLOOKUP($I331,'Privacy Analyst Evaluation'!$A$46:$F$120,2,0),""))</f>
        <v/>
      </c>
      <c r="K331" s="205" t="str">
        <f>IFERROR(VLOOKUP($I331,'Institution Evaluation'!$A$55:$F$345,3,0),IFERROR(VLOOKUP($I331,'Privacy Analyst Evaluation'!$A$46:$F$120,3,0),""))&amp;""</f>
        <v/>
      </c>
      <c r="L331" s="205" t="str">
        <f>IFERROR(VLOOKUP($I331,'Institution Evaluation'!$A$55:$F$345,4,0),IFERROR(VLOOKUP($I331,'Privacy Analyst Evaluation'!$A$46:$F$120,4,0),""))&amp;""</f>
        <v/>
      </c>
      <c r="M331" s="205" t="str">
        <f>IFERROR(VLOOKUP($I331,'Institution Evaluation'!$A$55:$F$345,6,0),IFERROR(VLOOKUP($I331,'Privacy Analyst Evaluation'!$A$46:$F$120,6,0),""))&amp;""</f>
        <v/>
      </c>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row>
    <row r="332" spans="1:338" x14ac:dyDescent="0.3">
      <c r="A332" s="205" t="str">
        <f>IFERROR(IF($A331+1&gt;'(backend scoring)'!$T$335,"",$A331+1),"")</f>
        <v/>
      </c>
      <c r="B332" s="205" t="str">
        <f>_xlfn.XLOOKUP($A332,'(backend scoring)'!$V$2:$V$333,'(backend scoring)'!$A$2:$A$333,"")</f>
        <v/>
      </c>
      <c r="C332" s="205" t="str">
        <f>IFERROR(VLOOKUP($B332,'Institution Evaluation'!$A$55:$F$345,2,0),IFERROR(VLOOKUP($B332,'Privacy Analyst Evaluation'!$A$46:$F$120,2,0),""))&amp;""</f>
        <v/>
      </c>
      <c r="D332" s="205" t="str">
        <f>IFERROR(VLOOKUP($B332,'Institution Evaluation'!$A$55:$F$345,3,0),IFERROR(VLOOKUP($B332,'Privacy Analyst Evaluation'!$A$46:$F$120,3,0),""))&amp;""</f>
        <v/>
      </c>
      <c r="E332" s="205" t="str">
        <f>IFERROR(VLOOKUP($B332,'Institution Evaluation'!$A$55:$F$345,4,0),IFERROR(VLOOKUP($B332,'Privacy Analyst Evaluation'!$A$46:$F$120,4,0),""))&amp;""</f>
        <v/>
      </c>
      <c r="F332" s="205" t="str">
        <f>IFERROR(VLOOKUP($B332,'Institution Evaluation'!$A$55:$F$345,6,0),IFERROR(VLOOKUP($B332,'Privacy Analyst Evaluation'!$A$46:$F$120,6,0),""))&amp;""</f>
        <v/>
      </c>
      <c r="G332" s="206"/>
      <c r="H332" s="205" t="str">
        <f>IFERROR(IF($H331+1&gt;'(backend scoring)'!$Q$335,"",$H331+1),"")</f>
        <v/>
      </c>
      <c r="I332" s="205" t="str">
        <f>_xlfn.XLOOKUP($H332,'(backend scoring)'!$S$2:$S$333,'(backend scoring)'!$A$2:$A$333,"")</f>
        <v/>
      </c>
      <c r="J332" s="205" t="str">
        <f>IFERROR(VLOOKUP($I332,'Institution Evaluation'!$A$55:$F$345,2,0),IFERROR(VLOOKUP($I332,'Privacy Analyst Evaluation'!$A$46:$F$120,2,0),""))</f>
        <v/>
      </c>
      <c r="K332" s="205" t="str">
        <f>IFERROR(VLOOKUP($I332,'Institution Evaluation'!$A$55:$F$345,3,0),IFERROR(VLOOKUP($I332,'Privacy Analyst Evaluation'!$A$46:$F$120,3,0),""))&amp;""</f>
        <v/>
      </c>
      <c r="L332" s="205" t="str">
        <f>IFERROR(VLOOKUP($I332,'Institution Evaluation'!$A$55:$F$345,4,0),IFERROR(VLOOKUP($I332,'Privacy Analyst Evaluation'!$A$46:$F$120,4,0),""))&amp;""</f>
        <v/>
      </c>
      <c r="M332" s="205" t="str">
        <f>IFERROR(VLOOKUP($I332,'Institution Evaluation'!$A$55:$F$345,6,0),IFERROR(VLOOKUP($I332,'Privacy Analyst Evaluation'!$A$46:$F$120,6,0),""))&amp;""</f>
        <v/>
      </c>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row>
    <row r="333" spans="1:338" x14ac:dyDescent="0.3">
      <c r="A333" s="205" t="str">
        <f>IFERROR(IF($A332+1&gt;'(backend scoring)'!$T$335,"",$A332+1),"")</f>
        <v/>
      </c>
      <c r="B333" s="205" t="str">
        <f>_xlfn.XLOOKUP($A333,'(backend scoring)'!$V$2:$V$333,'(backend scoring)'!$A$2:$A$333,"")</f>
        <v/>
      </c>
      <c r="C333" s="205" t="str">
        <f>IFERROR(VLOOKUP($B333,'Institution Evaluation'!$A$55:$F$345,2,0),IFERROR(VLOOKUP($B333,'Privacy Analyst Evaluation'!$A$46:$F$120,2,0),""))&amp;""</f>
        <v/>
      </c>
      <c r="D333" s="205" t="str">
        <f>IFERROR(VLOOKUP($B333,'Institution Evaluation'!$A$55:$F$345,3,0),IFERROR(VLOOKUP($B333,'Privacy Analyst Evaluation'!$A$46:$F$120,3,0),""))&amp;""</f>
        <v/>
      </c>
      <c r="E333" s="205" t="str">
        <f>IFERROR(VLOOKUP($B333,'Institution Evaluation'!$A$55:$F$345,4,0),IFERROR(VLOOKUP($B333,'Privacy Analyst Evaluation'!$A$46:$F$120,4,0),""))&amp;""</f>
        <v/>
      </c>
      <c r="F333" s="205" t="str">
        <f>IFERROR(VLOOKUP($B333,'Institution Evaluation'!$A$55:$F$345,6,0),IFERROR(VLOOKUP($B333,'Privacy Analyst Evaluation'!$A$46:$F$120,6,0),""))&amp;""</f>
        <v/>
      </c>
      <c r="G333" s="206"/>
      <c r="H333" s="205" t="str">
        <f>IFERROR(IF($H332+1&gt;'(backend scoring)'!$Q$335,"",$H332+1),"")</f>
        <v/>
      </c>
      <c r="I333" s="205" t="str">
        <f>_xlfn.XLOOKUP($H333,'(backend scoring)'!$S$2:$S$333,'(backend scoring)'!$A$2:$A$333,"")</f>
        <v/>
      </c>
      <c r="J333" s="205" t="str">
        <f>IFERROR(VLOOKUP($I333,'Institution Evaluation'!$A$55:$F$345,2,0),IFERROR(VLOOKUP($I333,'Privacy Analyst Evaluation'!$A$46:$F$120,2,0),""))</f>
        <v/>
      </c>
      <c r="K333" s="205" t="str">
        <f>IFERROR(VLOOKUP($I333,'Institution Evaluation'!$A$55:$F$345,3,0),IFERROR(VLOOKUP($I333,'Privacy Analyst Evaluation'!$A$46:$F$120,3,0),""))&amp;""</f>
        <v/>
      </c>
      <c r="L333" s="205" t="str">
        <f>IFERROR(VLOOKUP($I333,'Institution Evaluation'!$A$55:$F$345,4,0),IFERROR(VLOOKUP($I333,'Privacy Analyst Evaluation'!$A$46:$F$120,4,0),""))&amp;""</f>
        <v/>
      </c>
      <c r="M333" s="205" t="str">
        <f>IFERROR(VLOOKUP($I333,'Institution Evaluation'!$A$55:$F$345,6,0),IFERROR(VLOOKUP($I333,'Privacy Analyst Evaluation'!$A$46:$F$120,6,0),""))&amp;""</f>
        <v/>
      </c>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row>
    <row r="334" spans="1:338" x14ac:dyDescent="0.3">
      <c r="A334" s="205" t="str">
        <f>IFERROR(IF($A333+1&gt;'(backend scoring)'!$T$335,"",$A333+1),"")</f>
        <v/>
      </c>
      <c r="B334" s="205" t="str">
        <f>_xlfn.XLOOKUP($A334,'(backend scoring)'!$V$2:$V$333,'(backend scoring)'!$A$2:$A$333,"")</f>
        <v/>
      </c>
      <c r="C334" s="205" t="str">
        <f>IFERROR(VLOOKUP($B334,'Institution Evaluation'!$A$55:$F$345,2,0),IFERROR(VLOOKUP($B334,'Privacy Analyst Evaluation'!$A$46:$F$120,2,0),""))&amp;""</f>
        <v/>
      </c>
      <c r="D334" s="205" t="str">
        <f>IFERROR(VLOOKUP($B334,'Institution Evaluation'!$A$55:$F$345,3,0),IFERROR(VLOOKUP($B334,'Privacy Analyst Evaluation'!$A$46:$F$120,3,0),""))&amp;""</f>
        <v/>
      </c>
      <c r="E334" s="205" t="str">
        <f>IFERROR(VLOOKUP($B334,'Institution Evaluation'!$A$55:$F$345,4,0),IFERROR(VLOOKUP($B334,'Privacy Analyst Evaluation'!$A$46:$F$120,4,0),""))&amp;""</f>
        <v/>
      </c>
      <c r="F334" s="205" t="str">
        <f>IFERROR(VLOOKUP($B334,'Institution Evaluation'!$A$55:$F$345,6,0),IFERROR(VLOOKUP($B334,'Privacy Analyst Evaluation'!$A$46:$F$120,6,0),""))&amp;""</f>
        <v/>
      </c>
      <c r="G334" s="206"/>
      <c r="H334" s="205" t="str">
        <f>IFERROR(IF($H333+1&gt;'(backend scoring)'!$Q$335,"",$H333+1),"")</f>
        <v/>
      </c>
      <c r="I334" s="205" t="str">
        <f>_xlfn.XLOOKUP($H334,'(backend scoring)'!$S$2:$S$333,'(backend scoring)'!$A$2:$A$333,"")</f>
        <v/>
      </c>
      <c r="J334" s="205" t="str">
        <f>IFERROR(VLOOKUP($I334,'Institution Evaluation'!$A$55:$F$345,2,0),IFERROR(VLOOKUP($I334,'Privacy Analyst Evaluation'!$A$46:$F$120,2,0),""))</f>
        <v/>
      </c>
      <c r="K334" s="205" t="str">
        <f>IFERROR(VLOOKUP($I334,'Institution Evaluation'!$A$55:$F$345,3,0),IFERROR(VLOOKUP($I334,'Privacy Analyst Evaluation'!$A$46:$F$120,3,0),""))&amp;""</f>
        <v/>
      </c>
      <c r="L334" s="205" t="str">
        <f>IFERROR(VLOOKUP($I334,'Institution Evaluation'!$A$55:$F$345,4,0),IFERROR(VLOOKUP($I334,'Privacy Analyst Evaluation'!$A$46:$F$120,4,0),""))&amp;""</f>
        <v/>
      </c>
      <c r="M334" s="205" t="str">
        <f>IFERROR(VLOOKUP($I334,'Institution Evaluation'!$A$55:$F$345,6,0),IFERROR(VLOOKUP($I334,'Privacy Analyst Evaluation'!$A$46:$F$120,6,0),""))&amp;""</f>
        <v/>
      </c>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row>
    <row r="335" spans="1:338" x14ac:dyDescent="0.3">
      <c r="A335" s="205" t="str">
        <f>IFERROR(IF($A334+1&gt;'(backend scoring)'!$T$335,"",$A334+1),"")</f>
        <v/>
      </c>
      <c r="B335" s="205" t="str">
        <f>_xlfn.XLOOKUP($A335,'(backend scoring)'!$V$2:$V$333,'(backend scoring)'!$A$2:$A$333,"")</f>
        <v/>
      </c>
      <c r="C335" s="205" t="str">
        <f>IFERROR(VLOOKUP($B335,'Institution Evaluation'!$A$55:$F$345,2,0),IFERROR(VLOOKUP($B335,'Privacy Analyst Evaluation'!$A$46:$F$120,2,0),""))&amp;""</f>
        <v/>
      </c>
      <c r="D335" s="205" t="str">
        <f>IFERROR(VLOOKUP($B335,'Institution Evaluation'!$A$55:$F$345,3,0),IFERROR(VLOOKUP($B335,'Privacy Analyst Evaluation'!$A$46:$F$120,3,0),""))&amp;""</f>
        <v/>
      </c>
      <c r="E335" s="205" t="str">
        <f>IFERROR(VLOOKUP($B335,'Institution Evaluation'!$A$55:$F$345,4,0),IFERROR(VLOOKUP($B335,'Privacy Analyst Evaluation'!$A$46:$F$120,4,0),""))&amp;""</f>
        <v/>
      </c>
      <c r="F335" s="205" t="str">
        <f>IFERROR(VLOOKUP($B335,'Institution Evaluation'!$A$55:$F$345,6,0),IFERROR(VLOOKUP($B335,'Privacy Analyst Evaluation'!$A$46:$F$120,6,0),""))&amp;""</f>
        <v/>
      </c>
      <c r="G335" s="206"/>
      <c r="H335" s="205" t="str">
        <f>IFERROR(IF($H334+1&gt;'(backend scoring)'!$Q$335,"",$H334+1),"")</f>
        <v/>
      </c>
      <c r="I335" s="205" t="str">
        <f>_xlfn.XLOOKUP($H335,'(backend scoring)'!$S$2:$S$333,'(backend scoring)'!$A$2:$A$333,"")</f>
        <v/>
      </c>
      <c r="J335" s="205" t="str">
        <f>IFERROR(VLOOKUP($I335,'Institution Evaluation'!$A$55:$F$345,2,0),IFERROR(VLOOKUP($I335,'Privacy Analyst Evaluation'!$A$46:$F$120,2,0),""))</f>
        <v/>
      </c>
      <c r="K335" s="205" t="str">
        <f>IFERROR(VLOOKUP($I335,'Institution Evaluation'!$A$55:$F$345,3,0),IFERROR(VLOOKUP($I335,'Privacy Analyst Evaluation'!$A$46:$F$120,3,0),""))&amp;""</f>
        <v/>
      </c>
      <c r="L335" s="205" t="str">
        <f>IFERROR(VLOOKUP($I335,'Institution Evaluation'!$A$55:$F$345,4,0),IFERROR(VLOOKUP($I335,'Privacy Analyst Evaluation'!$A$46:$F$120,4,0),""))&amp;""</f>
        <v/>
      </c>
      <c r="M335" s="205" t="str">
        <f>IFERROR(VLOOKUP($I335,'Institution Evaluation'!$A$55:$F$345,6,0),IFERROR(VLOOKUP($I335,'Privacy Analyst Evaluation'!$A$46:$F$120,6,0),""))&amp;""</f>
        <v/>
      </c>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row>
    <row r="336" spans="1:338" x14ac:dyDescent="0.3">
      <c r="A336" s="205" t="str">
        <f>IFERROR(IF($A335+1&gt;'(backend scoring)'!$T$335,"",$A335+1),"")</f>
        <v/>
      </c>
      <c r="B336" s="205" t="str">
        <f>_xlfn.XLOOKUP($A336,'(backend scoring)'!$V$2:$V$333,'(backend scoring)'!$A$2:$A$333,"")</f>
        <v/>
      </c>
      <c r="C336" s="205" t="str">
        <f>IFERROR(VLOOKUP($B336,'Institution Evaluation'!$A$55:$F$345,2,0),IFERROR(VLOOKUP($B336,'Privacy Analyst Evaluation'!$A$46:$F$120,2,0),""))&amp;""</f>
        <v/>
      </c>
      <c r="D336" s="205" t="str">
        <f>IFERROR(VLOOKUP($B336,'Institution Evaluation'!$A$55:$F$345,3,0),IFERROR(VLOOKUP($B336,'Privacy Analyst Evaluation'!$A$46:$F$120,3,0),""))&amp;""</f>
        <v/>
      </c>
      <c r="E336" s="205" t="str">
        <f>IFERROR(VLOOKUP($B336,'Institution Evaluation'!$A$55:$F$345,4,0),IFERROR(VLOOKUP($B336,'Privacy Analyst Evaluation'!$A$46:$F$120,4,0),""))&amp;""</f>
        <v/>
      </c>
      <c r="F336" s="205" t="str">
        <f>IFERROR(VLOOKUP($B336,'Institution Evaluation'!$A$55:$F$345,6,0),IFERROR(VLOOKUP($B336,'Privacy Analyst Evaluation'!$A$46:$F$120,6,0),""))&amp;""</f>
        <v/>
      </c>
      <c r="G336" s="206"/>
      <c r="H336" s="205" t="str">
        <f>IFERROR(IF($H335+1&gt;'(backend scoring)'!$Q$335,"",$H335+1),"")</f>
        <v/>
      </c>
      <c r="I336" s="205" t="str">
        <f>_xlfn.XLOOKUP($H336,'(backend scoring)'!$S$2:$S$333,'(backend scoring)'!$A$2:$A$333,"")</f>
        <v/>
      </c>
      <c r="J336" s="205" t="str">
        <f>IFERROR(VLOOKUP($I336,'Institution Evaluation'!$A$55:$F$345,2,0),IFERROR(VLOOKUP($I336,'Privacy Analyst Evaluation'!$A$46:$F$120,2,0),""))</f>
        <v/>
      </c>
      <c r="K336" s="205" t="str">
        <f>IFERROR(VLOOKUP($I336,'Institution Evaluation'!$A$55:$F$345,3,0),IFERROR(VLOOKUP($I336,'Privacy Analyst Evaluation'!$A$46:$F$120,3,0),""))&amp;""</f>
        <v/>
      </c>
      <c r="L336" s="205" t="str">
        <f>IFERROR(VLOOKUP($I336,'Institution Evaluation'!$A$55:$F$345,4,0),IFERROR(VLOOKUP($I336,'Privacy Analyst Evaluation'!$A$46:$F$120,4,0),""))&amp;""</f>
        <v/>
      </c>
      <c r="M336" s="205" t="str">
        <f>IFERROR(VLOOKUP($I336,'Institution Evaluation'!$A$55:$F$345,6,0),IFERROR(VLOOKUP($I336,'Privacy Analyst Evaluation'!$A$46:$F$120,6,0),""))&amp;""</f>
        <v/>
      </c>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row>
    <row r="337" spans="1:338" x14ac:dyDescent="0.3">
      <c r="A337" s="205" t="str">
        <f>IFERROR(IF($A336+1&gt;'(backend scoring)'!$T$335,"",$A336+1),"")</f>
        <v/>
      </c>
      <c r="B337" s="205" t="str">
        <f>_xlfn.XLOOKUP($A337,'(backend scoring)'!$V$2:$V$333,'(backend scoring)'!$A$2:$A$333,"")</f>
        <v/>
      </c>
      <c r="C337" s="205" t="str">
        <f>IFERROR(VLOOKUP($B337,'Institution Evaluation'!$A$55:$F$345,2,0),IFERROR(VLOOKUP($B337,'Privacy Analyst Evaluation'!$A$46:$F$120,2,0),""))&amp;""</f>
        <v/>
      </c>
      <c r="D337" s="205" t="str">
        <f>IFERROR(VLOOKUP($B337,'Institution Evaluation'!$A$55:$F$345,3,0),IFERROR(VLOOKUP($B337,'Privacy Analyst Evaluation'!$A$46:$F$120,3,0),""))&amp;""</f>
        <v/>
      </c>
      <c r="E337" s="205" t="str">
        <f>IFERROR(VLOOKUP($B337,'Institution Evaluation'!$A$55:$F$345,4,0),IFERROR(VLOOKUP($B337,'Privacy Analyst Evaluation'!$A$46:$F$120,4,0),""))&amp;""</f>
        <v/>
      </c>
      <c r="F337" s="205" t="str">
        <f>IFERROR(VLOOKUP($B337,'Institution Evaluation'!$A$55:$F$345,6,0),IFERROR(VLOOKUP($B337,'Privacy Analyst Evaluation'!$A$46:$F$120,6,0),""))&amp;""</f>
        <v/>
      </c>
      <c r="G337" s="206"/>
      <c r="H337" s="205" t="str">
        <f>IFERROR(IF($H336+1&gt;'(backend scoring)'!$Q$335,"",$H336+1),"")</f>
        <v/>
      </c>
      <c r="I337" s="205" t="str">
        <f>_xlfn.XLOOKUP($H337,'(backend scoring)'!$S$2:$S$333,'(backend scoring)'!$A$2:$A$333,"")</f>
        <v/>
      </c>
      <c r="J337" s="205" t="str">
        <f>IFERROR(VLOOKUP($I337,'Institution Evaluation'!$A$55:$F$345,2,0),IFERROR(VLOOKUP($I337,'Privacy Analyst Evaluation'!$A$46:$F$120,2,0),""))</f>
        <v/>
      </c>
      <c r="K337" s="205" t="str">
        <f>IFERROR(VLOOKUP($I337,'Institution Evaluation'!$A$55:$F$345,3,0),IFERROR(VLOOKUP($I337,'Privacy Analyst Evaluation'!$A$46:$F$120,3,0),""))&amp;""</f>
        <v/>
      </c>
      <c r="L337" s="205" t="str">
        <f>IFERROR(VLOOKUP($I337,'Institution Evaluation'!$A$55:$F$345,4,0),IFERROR(VLOOKUP($I337,'Privacy Analyst Evaluation'!$A$46:$F$120,4,0),""))&amp;""</f>
        <v/>
      </c>
      <c r="M337" s="205" t="str">
        <f>IFERROR(VLOOKUP($I337,'Institution Evaluation'!$A$55:$F$345,6,0),IFERROR(VLOOKUP($I337,'Privacy Analyst Evaluation'!$A$46:$F$120,6,0),""))&amp;""</f>
        <v/>
      </c>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row>
    <row r="338" spans="1:338" x14ac:dyDescent="0.3">
      <c r="A338" s="205" t="str">
        <f>IFERROR(IF($A337+1&gt;'(backend scoring)'!$T$335,"",$A337+1),"")</f>
        <v/>
      </c>
      <c r="B338" s="205" t="str">
        <f>_xlfn.XLOOKUP($A338,'(backend scoring)'!$V$2:$V$333,'(backend scoring)'!$A$2:$A$333,"")</f>
        <v/>
      </c>
      <c r="C338" s="205" t="str">
        <f>IFERROR(VLOOKUP($B338,'Institution Evaluation'!$A$55:$F$345,2,0),IFERROR(VLOOKUP($B338,'Privacy Analyst Evaluation'!$A$46:$F$120,2,0),""))&amp;""</f>
        <v/>
      </c>
      <c r="D338" s="205" t="str">
        <f>IFERROR(VLOOKUP($B338,'Institution Evaluation'!$A$55:$F$345,3,0),IFERROR(VLOOKUP($B338,'Privacy Analyst Evaluation'!$A$46:$F$120,3,0),""))&amp;""</f>
        <v/>
      </c>
      <c r="E338" s="205" t="str">
        <f>IFERROR(VLOOKUP($B338,'Institution Evaluation'!$A$55:$F$345,4,0),IFERROR(VLOOKUP($B338,'Privacy Analyst Evaluation'!$A$46:$F$120,4,0),""))&amp;""</f>
        <v/>
      </c>
      <c r="F338" s="205" t="str">
        <f>IFERROR(VLOOKUP($B338,'Institution Evaluation'!$A$55:$F$345,6,0),IFERROR(VLOOKUP($B338,'Privacy Analyst Evaluation'!$A$46:$F$120,6,0),""))&amp;""</f>
        <v/>
      </c>
      <c r="G338" s="206"/>
      <c r="H338" s="205" t="str">
        <f>IFERROR(IF($H337+1&gt;'(backend scoring)'!$Q$335,"",$H337+1),"")</f>
        <v/>
      </c>
      <c r="I338" s="205" t="str">
        <f>_xlfn.XLOOKUP($H338,'(backend scoring)'!$S$2:$S$333,'(backend scoring)'!$A$2:$A$333,"")</f>
        <v/>
      </c>
      <c r="J338" s="205" t="str">
        <f>IFERROR(VLOOKUP($I338,'Institution Evaluation'!$A$55:$F$345,2,0),IFERROR(VLOOKUP($I338,'Privacy Analyst Evaluation'!$A$46:$F$120,2,0),""))</f>
        <v/>
      </c>
      <c r="K338" s="205" t="str">
        <f>IFERROR(VLOOKUP($I338,'Institution Evaluation'!$A$55:$F$345,3,0),IFERROR(VLOOKUP($I338,'Privacy Analyst Evaluation'!$A$46:$F$120,3,0),""))&amp;""</f>
        <v/>
      </c>
      <c r="L338" s="205" t="str">
        <f>IFERROR(VLOOKUP($I338,'Institution Evaluation'!$A$55:$F$345,4,0),IFERROR(VLOOKUP($I338,'Privacy Analyst Evaluation'!$A$46:$F$120,4,0),""))&amp;""</f>
        <v/>
      </c>
      <c r="M338" s="205" t="str">
        <f>IFERROR(VLOOKUP($I338,'Institution Evaluation'!$A$55:$F$345,6,0),IFERROR(VLOOKUP($I338,'Privacy Analyst Evaluation'!$A$46:$F$120,6,0),""))&amp;""</f>
        <v/>
      </c>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row>
    <row r="339" spans="1:338" x14ac:dyDescent="0.3">
      <c r="A339" s="205" t="str">
        <f>IFERROR(IF($A338+1&gt;'(backend scoring)'!$T$335,"",$A338+1),"")</f>
        <v/>
      </c>
      <c r="B339" s="205" t="str">
        <f>_xlfn.XLOOKUP($A339,'(backend scoring)'!$V$2:$V$333,'(backend scoring)'!$A$2:$A$333,"")</f>
        <v/>
      </c>
      <c r="C339" s="205" t="str">
        <f>IFERROR(VLOOKUP($B339,'Institution Evaluation'!$A$55:$F$345,2,0),IFERROR(VLOOKUP($B339,'Privacy Analyst Evaluation'!$A$46:$F$120,2,0),""))&amp;""</f>
        <v/>
      </c>
      <c r="D339" s="205" t="str">
        <f>IFERROR(VLOOKUP($B339,'Institution Evaluation'!$A$55:$F$345,3,0),IFERROR(VLOOKUP($B339,'Privacy Analyst Evaluation'!$A$46:$F$120,3,0),""))&amp;""</f>
        <v/>
      </c>
      <c r="E339" s="205" t="str">
        <f>IFERROR(VLOOKUP($B339,'Institution Evaluation'!$A$55:$F$345,4,0),IFERROR(VLOOKUP($B339,'Privacy Analyst Evaluation'!$A$46:$F$120,4,0),""))&amp;""</f>
        <v/>
      </c>
      <c r="F339" s="205" t="str">
        <f>IFERROR(VLOOKUP($B339,'Institution Evaluation'!$A$55:$F$345,6,0),IFERROR(VLOOKUP($B339,'Privacy Analyst Evaluation'!$A$46:$F$120,6,0),""))&amp;""</f>
        <v/>
      </c>
      <c r="G339" s="206"/>
      <c r="H339" s="205" t="str">
        <f>IFERROR(IF($H338+1&gt;'(backend scoring)'!$Q$335,"",$H338+1),"")</f>
        <v/>
      </c>
      <c r="I339" s="205" t="str">
        <f>_xlfn.XLOOKUP($H339,'(backend scoring)'!$S$2:$S$333,'(backend scoring)'!$A$2:$A$333,"")</f>
        <v/>
      </c>
      <c r="J339" s="205" t="str">
        <f>IFERROR(VLOOKUP($I339,'Institution Evaluation'!$A$55:$F$345,2,0),IFERROR(VLOOKUP($I339,'Privacy Analyst Evaluation'!$A$46:$F$120,2,0),""))</f>
        <v/>
      </c>
      <c r="K339" s="205" t="str">
        <f>IFERROR(VLOOKUP($I339,'Institution Evaluation'!$A$55:$F$345,3,0),IFERROR(VLOOKUP($I339,'Privacy Analyst Evaluation'!$A$46:$F$120,3,0),""))&amp;""</f>
        <v/>
      </c>
      <c r="L339" s="205" t="str">
        <f>IFERROR(VLOOKUP($I339,'Institution Evaluation'!$A$55:$F$345,4,0),IFERROR(VLOOKUP($I339,'Privacy Analyst Evaluation'!$A$46:$F$120,4,0),""))&amp;""</f>
        <v/>
      </c>
      <c r="M339" s="205" t="str">
        <f>IFERROR(VLOOKUP($I339,'Institution Evaluation'!$A$55:$F$345,6,0),IFERROR(VLOOKUP($I339,'Privacy Analyst Evaluation'!$A$46:$F$120,6,0),""))&amp;""</f>
        <v/>
      </c>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row>
    <row r="340" spans="1:338" x14ac:dyDescent="0.3">
      <c r="A340" s="205" t="str">
        <f>IFERROR(IF($A339+1&gt;'(backend scoring)'!$T$335,"",$A339+1),"")</f>
        <v/>
      </c>
      <c r="B340" s="205" t="str">
        <f>_xlfn.XLOOKUP($A340,'(backend scoring)'!$V$2:$V$333,'(backend scoring)'!$A$2:$A$333,"")</f>
        <v/>
      </c>
      <c r="C340" s="205" t="str">
        <f>IFERROR(VLOOKUP($B340,'Institution Evaluation'!$A$55:$F$345,2,0),IFERROR(VLOOKUP($B340,'Privacy Analyst Evaluation'!$A$46:$F$120,2,0),""))&amp;""</f>
        <v/>
      </c>
      <c r="D340" s="205" t="str">
        <f>IFERROR(VLOOKUP($B340,'Institution Evaluation'!$A$55:$F$345,3,0),IFERROR(VLOOKUP($B340,'Privacy Analyst Evaluation'!$A$46:$F$120,3,0),""))&amp;""</f>
        <v/>
      </c>
      <c r="E340" s="205" t="str">
        <f>IFERROR(VLOOKUP($B340,'Institution Evaluation'!$A$55:$F$345,4,0),IFERROR(VLOOKUP($B340,'Privacy Analyst Evaluation'!$A$46:$F$120,4,0),""))&amp;""</f>
        <v/>
      </c>
      <c r="F340" s="205" t="str">
        <f>IFERROR(VLOOKUP($B340,'Institution Evaluation'!$A$55:$F$345,6,0),IFERROR(VLOOKUP($B340,'Privacy Analyst Evaluation'!$A$46:$F$120,6,0),""))&amp;""</f>
        <v/>
      </c>
      <c r="G340" s="206"/>
      <c r="H340" s="205" t="str">
        <f>IFERROR(IF($H339+1&gt;'(backend scoring)'!$Q$335,"",$H339+1),"")</f>
        <v/>
      </c>
      <c r="I340" s="205" t="str">
        <f>_xlfn.XLOOKUP($H340,'(backend scoring)'!$S$2:$S$333,'(backend scoring)'!$A$2:$A$333,"")</f>
        <v/>
      </c>
      <c r="J340" s="205" t="str">
        <f>IFERROR(VLOOKUP($I340,'Institution Evaluation'!$A$55:$F$345,2,0),IFERROR(VLOOKUP($I340,'Privacy Analyst Evaluation'!$A$46:$F$120,2,0),""))</f>
        <v/>
      </c>
      <c r="K340" s="205" t="str">
        <f>IFERROR(VLOOKUP($I340,'Institution Evaluation'!$A$55:$F$345,3,0),IFERROR(VLOOKUP($I340,'Privacy Analyst Evaluation'!$A$46:$F$120,3,0),""))&amp;""</f>
        <v/>
      </c>
      <c r="L340" s="205" t="str">
        <f>IFERROR(VLOOKUP($I340,'Institution Evaluation'!$A$55:$F$345,4,0),IFERROR(VLOOKUP($I340,'Privacy Analyst Evaluation'!$A$46:$F$120,4,0),""))&amp;""</f>
        <v/>
      </c>
      <c r="M340" s="205" t="str">
        <f>IFERROR(VLOOKUP($I340,'Institution Evaluation'!$A$55:$F$345,6,0),IFERROR(VLOOKUP($I340,'Privacy Analyst Evaluation'!$A$46:$F$120,6,0),""))&amp;""</f>
        <v/>
      </c>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row>
    <row r="341" spans="1:338" x14ac:dyDescent="0.3">
      <c r="A341" s="205" t="str">
        <f>IFERROR(IF($A340+1&gt;'(backend scoring)'!$T$335,"",$A340+1),"")</f>
        <v/>
      </c>
      <c r="B341" s="205" t="str">
        <f>_xlfn.XLOOKUP($A341,'(backend scoring)'!$V$2:$V$333,'(backend scoring)'!$A$2:$A$333,"")</f>
        <v/>
      </c>
      <c r="C341" s="205" t="str">
        <f>IFERROR(VLOOKUP($B341,'Institution Evaluation'!$A$55:$F$345,2,0),IFERROR(VLOOKUP($B341,'Privacy Analyst Evaluation'!$A$46:$F$120,2,0),""))&amp;""</f>
        <v/>
      </c>
      <c r="D341" s="205" t="str">
        <f>IFERROR(VLOOKUP($B341,'Institution Evaluation'!$A$55:$F$345,3,0),IFERROR(VLOOKUP($B341,'Privacy Analyst Evaluation'!$A$46:$F$120,3,0),""))&amp;""</f>
        <v/>
      </c>
      <c r="E341" s="205" t="str">
        <f>IFERROR(VLOOKUP($B341,'Institution Evaluation'!$A$55:$F$345,4,0),IFERROR(VLOOKUP($B341,'Privacy Analyst Evaluation'!$A$46:$F$120,4,0),""))&amp;""</f>
        <v/>
      </c>
      <c r="F341" s="205" t="str">
        <f>IFERROR(VLOOKUP($B341,'Institution Evaluation'!$A$55:$F$345,6,0),IFERROR(VLOOKUP($B341,'Privacy Analyst Evaluation'!$A$46:$F$120,6,0),""))&amp;""</f>
        <v/>
      </c>
      <c r="G341" s="206"/>
      <c r="H341" s="205" t="str">
        <f>IFERROR(IF($H340+1&gt;'(backend scoring)'!$Q$335,"",$H340+1),"")</f>
        <v/>
      </c>
      <c r="I341" s="205" t="str">
        <f>_xlfn.XLOOKUP($H341,'(backend scoring)'!$S$2:$S$333,'(backend scoring)'!$A$2:$A$333,"")</f>
        <v/>
      </c>
      <c r="J341" s="205" t="str">
        <f>IFERROR(VLOOKUP($I341,'Institution Evaluation'!$A$55:$F$345,2,0),IFERROR(VLOOKUP($I341,'Privacy Analyst Evaluation'!$A$46:$F$120,2,0),""))</f>
        <v/>
      </c>
      <c r="K341" s="205" t="str">
        <f>IFERROR(VLOOKUP($I341,'Institution Evaluation'!$A$55:$F$345,3,0),IFERROR(VLOOKUP($I341,'Privacy Analyst Evaluation'!$A$46:$F$120,3,0),""))&amp;""</f>
        <v/>
      </c>
      <c r="L341" s="205" t="str">
        <f>IFERROR(VLOOKUP($I341,'Institution Evaluation'!$A$55:$F$345,4,0),IFERROR(VLOOKUP($I341,'Privacy Analyst Evaluation'!$A$46:$F$120,4,0),""))&amp;""</f>
        <v/>
      </c>
      <c r="M341" s="205" t="str">
        <f>IFERROR(VLOOKUP($I341,'Institution Evaluation'!$A$55:$F$345,6,0),IFERROR(VLOOKUP($I341,'Privacy Analyst Evaluation'!$A$46:$F$120,6,0),""))&amp;""</f>
        <v/>
      </c>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row>
    <row r="342" spans="1:338" x14ac:dyDescent="0.3">
      <c r="A342" s="205" t="str">
        <f>IFERROR(IF($A341+1&gt;'(backend scoring)'!$T$335,"",$A341+1),"")</f>
        <v/>
      </c>
      <c r="B342" s="205" t="str">
        <f>_xlfn.XLOOKUP($A342,'(backend scoring)'!$V$2:$V$333,'(backend scoring)'!$A$2:$A$333,"")</f>
        <v/>
      </c>
      <c r="C342" s="205" t="str">
        <f>IFERROR(VLOOKUP($B342,'Institution Evaluation'!$A$55:$F$345,2,0),IFERROR(VLOOKUP($B342,'Privacy Analyst Evaluation'!$A$46:$F$120,2,0),""))&amp;""</f>
        <v/>
      </c>
      <c r="D342" s="205" t="str">
        <f>IFERROR(VLOOKUP($B342,'Institution Evaluation'!$A$55:$F$345,3,0),IFERROR(VLOOKUP($B342,'Privacy Analyst Evaluation'!$A$46:$F$120,3,0),""))&amp;""</f>
        <v/>
      </c>
      <c r="E342" s="205" t="str">
        <f>IFERROR(VLOOKUP($B342,'Institution Evaluation'!$A$55:$F$345,4,0),IFERROR(VLOOKUP($B342,'Privacy Analyst Evaluation'!$A$46:$F$120,4,0),""))&amp;""</f>
        <v/>
      </c>
      <c r="F342" s="205" t="str">
        <f>IFERROR(VLOOKUP($B342,'Institution Evaluation'!$A$55:$F$345,6,0),IFERROR(VLOOKUP($B342,'Privacy Analyst Evaluation'!$A$46:$F$120,6,0),""))&amp;""</f>
        <v/>
      </c>
      <c r="G342" s="206"/>
      <c r="H342" s="205" t="str">
        <f>IFERROR(IF($H341+1&gt;'(backend scoring)'!$Q$335,"",$H341+1),"")</f>
        <v/>
      </c>
      <c r="I342" s="205" t="str">
        <f>_xlfn.XLOOKUP($H342,'(backend scoring)'!$S$2:$S$333,'(backend scoring)'!$A$2:$A$333,"")</f>
        <v/>
      </c>
      <c r="J342" s="205" t="str">
        <f>IFERROR(VLOOKUP($I342,'Institution Evaluation'!$A$55:$F$345,2,0),IFERROR(VLOOKUP($I342,'Privacy Analyst Evaluation'!$A$46:$F$120,2,0),""))</f>
        <v/>
      </c>
      <c r="K342" s="205" t="str">
        <f>IFERROR(VLOOKUP($I342,'Institution Evaluation'!$A$55:$F$345,3,0),IFERROR(VLOOKUP($I342,'Privacy Analyst Evaluation'!$A$46:$F$120,3,0),""))&amp;""</f>
        <v/>
      </c>
      <c r="L342" s="205" t="str">
        <f>IFERROR(VLOOKUP($I342,'Institution Evaluation'!$A$55:$F$345,4,0),IFERROR(VLOOKUP($I342,'Privacy Analyst Evaluation'!$A$46:$F$120,4,0),""))&amp;""</f>
        <v/>
      </c>
      <c r="M342" s="205" t="str">
        <f>IFERROR(VLOOKUP($I342,'Institution Evaluation'!$A$55:$F$345,6,0),IFERROR(VLOOKUP($I342,'Privacy Analyst Evaluation'!$A$46:$F$120,6,0),""))&amp;""</f>
        <v/>
      </c>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row>
    <row r="343" spans="1:338" x14ac:dyDescent="0.3">
      <c r="A343" s="205" t="str">
        <f>IFERROR(IF($A342+1&gt;'(backend scoring)'!$T$335,"",$A342+1),"")</f>
        <v/>
      </c>
      <c r="B343" s="205" t="str">
        <f>_xlfn.XLOOKUP($A343,'(backend scoring)'!$V$2:$V$333,'(backend scoring)'!$A$2:$A$333,"")</f>
        <v/>
      </c>
      <c r="C343" s="205" t="str">
        <f>IFERROR(VLOOKUP($B343,'Institution Evaluation'!$A$55:$F$345,2,0),IFERROR(VLOOKUP($B343,'Privacy Analyst Evaluation'!$A$46:$F$120,2,0),""))&amp;""</f>
        <v/>
      </c>
      <c r="D343" s="205" t="str">
        <f>IFERROR(VLOOKUP($B343,'Institution Evaluation'!$A$55:$F$345,3,0),IFERROR(VLOOKUP($B343,'Privacy Analyst Evaluation'!$A$46:$F$120,3,0),""))&amp;""</f>
        <v/>
      </c>
      <c r="E343" s="205" t="str">
        <f>IFERROR(VLOOKUP($B343,'Institution Evaluation'!$A$55:$F$345,4,0),IFERROR(VLOOKUP($B343,'Privacy Analyst Evaluation'!$A$46:$F$120,4,0),""))&amp;""</f>
        <v/>
      </c>
      <c r="F343" s="205" t="str">
        <f>IFERROR(VLOOKUP($B343,'Institution Evaluation'!$A$55:$F$345,6,0),IFERROR(VLOOKUP($B343,'Privacy Analyst Evaluation'!$A$46:$F$120,6,0),""))&amp;""</f>
        <v/>
      </c>
      <c r="G343" s="206"/>
      <c r="H343" s="205" t="str">
        <f>IFERROR(IF($H342+1&gt;'(backend scoring)'!$Q$335,"",$H342+1),"")</f>
        <v/>
      </c>
      <c r="I343" s="205" t="str">
        <f>_xlfn.XLOOKUP($H343,'(backend scoring)'!$S$2:$S$333,'(backend scoring)'!$A$2:$A$333,"")</f>
        <v/>
      </c>
      <c r="J343" s="205" t="str">
        <f>IFERROR(VLOOKUP($I343,'Institution Evaluation'!$A$55:$F$345,2,0),IFERROR(VLOOKUP($I343,'Privacy Analyst Evaluation'!$A$46:$F$120,2,0),""))</f>
        <v/>
      </c>
      <c r="K343" s="205" t="str">
        <f>IFERROR(VLOOKUP($I343,'Institution Evaluation'!$A$55:$F$345,3,0),IFERROR(VLOOKUP($I343,'Privacy Analyst Evaluation'!$A$46:$F$120,3,0),""))&amp;""</f>
        <v/>
      </c>
      <c r="L343" s="205" t="str">
        <f>IFERROR(VLOOKUP($I343,'Institution Evaluation'!$A$55:$F$345,4,0),IFERROR(VLOOKUP($I343,'Privacy Analyst Evaluation'!$A$46:$F$120,4,0),""))&amp;""</f>
        <v/>
      </c>
      <c r="M343" s="205" t="str">
        <f>IFERROR(VLOOKUP($I343,'Institution Evaluation'!$A$55:$F$345,6,0),IFERROR(VLOOKUP($I343,'Privacy Analyst Evaluation'!$A$46:$F$120,6,0),""))&amp;""</f>
        <v/>
      </c>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row>
    <row r="344" spans="1:338" x14ac:dyDescent="0.3">
      <c r="A344" s="205" t="str">
        <f>IFERROR(IF($A343+1&gt;'(backend scoring)'!$T$335,"",$A343+1),"")</f>
        <v/>
      </c>
      <c r="B344" s="205" t="str">
        <f>_xlfn.XLOOKUP($A344,'(backend scoring)'!$V$2:$V$333,'(backend scoring)'!$A$2:$A$333,"")</f>
        <v/>
      </c>
      <c r="C344" s="205" t="str">
        <f>IFERROR(VLOOKUP($B344,'Institution Evaluation'!$A$55:$F$345,2,0),IFERROR(VLOOKUP($B344,'Privacy Analyst Evaluation'!$A$46:$F$120,2,0),""))&amp;""</f>
        <v/>
      </c>
      <c r="D344" s="205" t="str">
        <f>IFERROR(VLOOKUP($B344,'Institution Evaluation'!$A$55:$F$345,3,0),IFERROR(VLOOKUP($B344,'Privacy Analyst Evaluation'!$A$46:$F$120,3,0),""))&amp;""</f>
        <v/>
      </c>
      <c r="E344" s="205" t="str">
        <f>IFERROR(VLOOKUP($B344,'Institution Evaluation'!$A$55:$F$345,4,0),IFERROR(VLOOKUP($B344,'Privacy Analyst Evaluation'!$A$46:$F$120,4,0),""))&amp;""</f>
        <v/>
      </c>
      <c r="F344" s="205" t="str">
        <f>IFERROR(VLOOKUP($B344,'Institution Evaluation'!$A$55:$F$345,6,0),IFERROR(VLOOKUP($B344,'Privacy Analyst Evaluation'!$A$46:$F$120,6,0),""))&amp;""</f>
        <v/>
      </c>
      <c r="G344" s="206"/>
      <c r="H344" s="205" t="str">
        <f>IFERROR(IF($H343+1&gt;'(backend scoring)'!$Q$335,"",$H343+1),"")</f>
        <v/>
      </c>
      <c r="I344" s="205" t="str">
        <f>_xlfn.XLOOKUP($H344,'(backend scoring)'!$S$2:$S$333,'(backend scoring)'!$A$2:$A$333,"")</f>
        <v/>
      </c>
      <c r="J344" s="205" t="str">
        <f>IFERROR(VLOOKUP($I344,'Institution Evaluation'!$A$55:$F$345,2,0),IFERROR(VLOOKUP($I344,'Privacy Analyst Evaluation'!$A$46:$F$120,2,0),""))</f>
        <v/>
      </c>
      <c r="K344" s="205" t="str">
        <f>IFERROR(VLOOKUP($I344,'Institution Evaluation'!$A$55:$F$345,3,0),IFERROR(VLOOKUP($I344,'Privacy Analyst Evaluation'!$A$46:$F$120,3,0),""))&amp;""</f>
        <v/>
      </c>
      <c r="L344" s="205" t="str">
        <f>IFERROR(VLOOKUP($I344,'Institution Evaluation'!$A$55:$F$345,4,0),IFERROR(VLOOKUP($I344,'Privacy Analyst Evaluation'!$A$46:$F$120,4,0),""))&amp;""</f>
        <v/>
      </c>
      <c r="M344" s="205" t="str">
        <f>IFERROR(VLOOKUP($I344,'Institution Evaluation'!$A$55:$F$345,6,0),IFERROR(VLOOKUP($I344,'Privacy Analyst Evaluation'!$A$46:$F$120,6,0),""))&amp;""</f>
        <v/>
      </c>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row>
    <row r="345" spans="1:338" x14ac:dyDescent="0.3">
      <c r="A345" s="205" t="str">
        <f>IFERROR(IF($A344+1&gt;'(backend scoring)'!$T$335,"",$A344+1),"")</f>
        <v/>
      </c>
      <c r="B345" s="205" t="str">
        <f>_xlfn.XLOOKUP($A345,'(backend scoring)'!$V$2:$V$333,'(backend scoring)'!$A$2:$A$333,"")</f>
        <v/>
      </c>
      <c r="C345" s="205" t="str">
        <f>IFERROR(VLOOKUP($B345,'Institution Evaluation'!$A$55:$F$345,2,0),IFERROR(VLOOKUP($B345,'Privacy Analyst Evaluation'!$A$46:$F$120,2,0),""))&amp;""</f>
        <v/>
      </c>
      <c r="D345" s="205" t="str">
        <f>IFERROR(VLOOKUP($B345,'Institution Evaluation'!$A$55:$F$345,3,0),IFERROR(VLOOKUP($B345,'Privacy Analyst Evaluation'!$A$46:$F$120,3,0),""))&amp;""</f>
        <v/>
      </c>
      <c r="E345" s="205" t="str">
        <f>IFERROR(VLOOKUP($B345,'Institution Evaluation'!$A$55:$F$345,4,0),IFERROR(VLOOKUP($B345,'Privacy Analyst Evaluation'!$A$46:$F$120,4,0),""))&amp;""</f>
        <v/>
      </c>
      <c r="F345" s="205" t="str">
        <f>IFERROR(VLOOKUP($B345,'Institution Evaluation'!$A$55:$F$345,6,0),IFERROR(VLOOKUP($B345,'Privacy Analyst Evaluation'!$A$46:$F$120,6,0),""))&amp;""</f>
        <v/>
      </c>
      <c r="G345" s="206"/>
      <c r="H345" s="205" t="str">
        <f>IFERROR(IF($H344+1&gt;'(backend scoring)'!$Q$335,"",$H344+1),"")</f>
        <v/>
      </c>
      <c r="I345" s="205" t="str">
        <f>_xlfn.XLOOKUP($H345,'(backend scoring)'!$S$2:$S$333,'(backend scoring)'!$A$2:$A$333,"")</f>
        <v/>
      </c>
      <c r="J345" s="205" t="str">
        <f>IFERROR(VLOOKUP($I345,'Institution Evaluation'!$A$55:$F$345,2,0),IFERROR(VLOOKUP($I345,'Privacy Analyst Evaluation'!$A$46:$F$120,2,0),""))</f>
        <v/>
      </c>
      <c r="K345" s="205" t="str">
        <f>IFERROR(VLOOKUP($I345,'Institution Evaluation'!$A$55:$F$345,3,0),IFERROR(VLOOKUP($I345,'Privacy Analyst Evaluation'!$A$46:$F$120,3,0),""))&amp;""</f>
        <v/>
      </c>
      <c r="L345" s="205" t="str">
        <f>IFERROR(VLOOKUP($I345,'Institution Evaluation'!$A$55:$F$345,4,0),IFERROR(VLOOKUP($I345,'Privacy Analyst Evaluation'!$A$46:$F$120,4,0),""))&amp;""</f>
        <v/>
      </c>
      <c r="M345" s="205" t="str">
        <f>IFERROR(VLOOKUP($I345,'Institution Evaluation'!$A$55:$F$345,6,0),IFERROR(VLOOKUP($I345,'Privacy Analyst Evaluation'!$A$46:$F$120,6,0),""))&amp;""</f>
        <v/>
      </c>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row>
    <row r="346" spans="1:338" x14ac:dyDescent="0.3">
      <c r="A346" s="205" t="str">
        <f>IFERROR(IF($A345+1&gt;'(backend scoring)'!$T$335,"",$A345+1),"")</f>
        <v/>
      </c>
      <c r="B346" s="205" t="str">
        <f>_xlfn.XLOOKUP($A346,'(backend scoring)'!$V$2:$V$333,'(backend scoring)'!$A$2:$A$333,"")</f>
        <v/>
      </c>
      <c r="C346" s="205" t="str">
        <f>IFERROR(VLOOKUP($B346,'Institution Evaluation'!$A$55:$F$345,2,0),IFERROR(VLOOKUP($B346,'Privacy Analyst Evaluation'!$A$46:$F$120,2,0),""))&amp;""</f>
        <v/>
      </c>
      <c r="D346" s="205" t="str">
        <f>IFERROR(VLOOKUP($B346,'Institution Evaluation'!$A$55:$F$345,3,0),IFERROR(VLOOKUP($B346,'Privacy Analyst Evaluation'!$A$46:$F$120,3,0),""))&amp;""</f>
        <v/>
      </c>
      <c r="E346" s="205" t="str">
        <f>IFERROR(VLOOKUP($B346,'Institution Evaluation'!$A$55:$F$345,4,0),IFERROR(VLOOKUP($B346,'Privacy Analyst Evaluation'!$A$46:$F$120,4,0),""))&amp;""</f>
        <v/>
      </c>
      <c r="F346" s="205" t="str">
        <f>IFERROR(VLOOKUP($B346,'Institution Evaluation'!$A$55:$F$345,6,0),IFERROR(VLOOKUP($B346,'Privacy Analyst Evaluation'!$A$46:$F$120,6,0),""))&amp;""</f>
        <v/>
      </c>
      <c r="G346" s="206"/>
      <c r="H346" s="205" t="str">
        <f>IFERROR(IF($H345+1&gt;'(backend scoring)'!$Q$335,"",$H345+1),"")</f>
        <v/>
      </c>
      <c r="I346" s="205" t="str">
        <f>_xlfn.XLOOKUP($H346,'(backend scoring)'!$S$2:$S$333,'(backend scoring)'!$A$2:$A$333,"")</f>
        <v/>
      </c>
      <c r="J346" s="205" t="str">
        <f>IFERROR(VLOOKUP($I346,'Institution Evaluation'!$A$55:$F$345,2,0),IFERROR(VLOOKUP($I346,'Privacy Analyst Evaluation'!$A$46:$F$120,2,0),""))</f>
        <v/>
      </c>
      <c r="K346" s="205" t="str">
        <f>IFERROR(VLOOKUP($I346,'Institution Evaluation'!$A$55:$F$345,3,0),IFERROR(VLOOKUP($I346,'Privacy Analyst Evaluation'!$A$46:$F$120,3,0),""))&amp;""</f>
        <v/>
      </c>
      <c r="L346" s="205" t="str">
        <f>IFERROR(VLOOKUP($I346,'Institution Evaluation'!$A$55:$F$345,4,0),IFERROR(VLOOKUP($I346,'Privacy Analyst Evaluation'!$A$46:$F$120,4,0),""))&amp;""</f>
        <v/>
      </c>
      <c r="M346" s="205" t="str">
        <f>IFERROR(VLOOKUP($I346,'Institution Evaluation'!$A$55:$F$345,6,0),IFERROR(VLOOKUP($I346,'Privacy Analyst Evaluation'!$A$46:$F$120,6,0),""))&amp;""</f>
        <v/>
      </c>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row>
    <row r="347" spans="1:338" x14ac:dyDescent="0.3">
      <c r="A347" s="205" t="str">
        <f>IFERROR(IF($A346+1&gt;'(backend scoring)'!$T$335,"",$A346+1),"")</f>
        <v/>
      </c>
      <c r="B347" s="205" t="str">
        <f>_xlfn.XLOOKUP($A347,'(backend scoring)'!$V$2:$V$333,'(backend scoring)'!$A$2:$A$333,"")</f>
        <v/>
      </c>
      <c r="C347" s="205" t="str">
        <f>IFERROR(VLOOKUP($B347,'Institution Evaluation'!$A$55:$F$345,2,0),IFERROR(VLOOKUP($B347,'Privacy Analyst Evaluation'!$A$46:$F$120,2,0),""))&amp;""</f>
        <v/>
      </c>
      <c r="D347" s="205" t="str">
        <f>IFERROR(VLOOKUP($B347,'Institution Evaluation'!$A$55:$F$345,3,0),IFERROR(VLOOKUP($B347,'Privacy Analyst Evaluation'!$A$46:$F$120,3,0),""))&amp;""</f>
        <v/>
      </c>
      <c r="E347" s="205" t="str">
        <f>IFERROR(VLOOKUP($B347,'Institution Evaluation'!$A$55:$F$345,4,0),IFERROR(VLOOKUP($B347,'Privacy Analyst Evaluation'!$A$46:$F$120,4,0),""))&amp;""</f>
        <v/>
      </c>
      <c r="F347" s="205" t="str">
        <f>IFERROR(VLOOKUP($B347,'Institution Evaluation'!$A$55:$F$345,6,0),IFERROR(VLOOKUP($B347,'Privacy Analyst Evaluation'!$A$46:$F$120,6,0),""))&amp;""</f>
        <v/>
      </c>
      <c r="G347" s="206"/>
      <c r="H347" s="205" t="str">
        <f>IFERROR(IF($H346+1&gt;'(backend scoring)'!$Q$335,"",$H346+1),"")</f>
        <v/>
      </c>
      <c r="I347" s="205" t="str">
        <f>_xlfn.XLOOKUP($H347,'(backend scoring)'!$S$2:$S$333,'(backend scoring)'!$A$2:$A$333,"")</f>
        <v/>
      </c>
      <c r="J347" s="205" t="str">
        <f>IFERROR(VLOOKUP($I347,'Institution Evaluation'!$A$55:$F$345,2,0),IFERROR(VLOOKUP($I347,'Privacy Analyst Evaluation'!$A$46:$F$120,2,0),""))</f>
        <v/>
      </c>
      <c r="K347" s="205" t="str">
        <f>IFERROR(VLOOKUP($I347,'Institution Evaluation'!$A$55:$F$345,3,0),IFERROR(VLOOKUP($I347,'Privacy Analyst Evaluation'!$A$46:$F$120,3,0),""))&amp;""</f>
        <v/>
      </c>
      <c r="L347" s="205" t="str">
        <f>IFERROR(VLOOKUP($I347,'Institution Evaluation'!$A$55:$F$345,4,0),IFERROR(VLOOKUP($I347,'Privacy Analyst Evaluation'!$A$46:$F$120,4,0),""))&amp;""</f>
        <v/>
      </c>
      <c r="M347" s="205" t="str">
        <f>IFERROR(VLOOKUP($I347,'Institution Evaluation'!$A$55:$F$345,6,0),IFERROR(VLOOKUP($I347,'Privacy Analyst Evaluation'!$A$46:$F$120,6,0),""))&amp;""</f>
        <v/>
      </c>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row>
    <row r="348" spans="1:338" x14ac:dyDescent="0.3">
      <c r="A348" s="205" t="str">
        <f>IFERROR(IF($A347+1&gt;'(backend scoring)'!$T$335,"",$A347+1),"")</f>
        <v/>
      </c>
      <c r="B348" s="205" t="str">
        <f>_xlfn.XLOOKUP($A348,'(backend scoring)'!$V$2:$V$333,'(backend scoring)'!$A$2:$A$333,"")</f>
        <v/>
      </c>
      <c r="C348" s="205" t="str">
        <f>IFERROR(VLOOKUP($B348,'Institution Evaluation'!$A$55:$F$345,2,0),IFERROR(VLOOKUP($B348,'Privacy Analyst Evaluation'!$A$46:$F$120,2,0),""))&amp;""</f>
        <v/>
      </c>
      <c r="D348" s="205" t="str">
        <f>IFERROR(VLOOKUP($B348,'Institution Evaluation'!$A$55:$F$345,3,0),IFERROR(VLOOKUP($B348,'Privacy Analyst Evaluation'!$A$46:$F$120,3,0),""))&amp;""</f>
        <v/>
      </c>
      <c r="E348" s="205" t="str">
        <f>IFERROR(VLOOKUP($B348,'Institution Evaluation'!$A$55:$F$345,4,0),IFERROR(VLOOKUP($B348,'Privacy Analyst Evaluation'!$A$46:$F$120,4,0),""))&amp;""</f>
        <v/>
      </c>
      <c r="F348" s="205" t="str">
        <f>IFERROR(VLOOKUP($B348,'Institution Evaluation'!$A$55:$F$345,6,0),IFERROR(VLOOKUP($B348,'Privacy Analyst Evaluation'!$A$46:$F$120,6,0),""))&amp;""</f>
        <v/>
      </c>
      <c r="G348" s="206"/>
      <c r="H348" s="205" t="str">
        <f>IFERROR(IF($H347+1&gt;'(backend scoring)'!$Q$335,"",$H347+1),"")</f>
        <v/>
      </c>
      <c r="I348" s="205" t="str">
        <f>_xlfn.XLOOKUP($H348,'(backend scoring)'!$S$2:$S$333,'(backend scoring)'!$A$2:$A$333,"")</f>
        <v/>
      </c>
      <c r="J348" s="205" t="str">
        <f>IFERROR(VLOOKUP($I348,'Institution Evaluation'!$A$55:$F$345,2,0),IFERROR(VLOOKUP($I348,'Privacy Analyst Evaluation'!$A$46:$F$120,2,0),""))</f>
        <v/>
      </c>
      <c r="K348" s="205" t="str">
        <f>IFERROR(VLOOKUP($I348,'Institution Evaluation'!$A$55:$F$345,3,0),IFERROR(VLOOKUP($I348,'Privacy Analyst Evaluation'!$A$46:$F$120,3,0),""))&amp;""</f>
        <v/>
      </c>
      <c r="L348" s="205" t="str">
        <f>IFERROR(VLOOKUP($I348,'Institution Evaluation'!$A$55:$F$345,4,0),IFERROR(VLOOKUP($I348,'Privacy Analyst Evaluation'!$A$46:$F$120,4,0),""))&amp;""</f>
        <v/>
      </c>
      <c r="M348" s="205" t="str">
        <f>IFERROR(VLOOKUP($I348,'Institution Evaluation'!$A$55:$F$345,6,0),IFERROR(VLOOKUP($I348,'Privacy Analyst Evaluation'!$A$46:$F$120,6,0),""))&amp;""</f>
        <v/>
      </c>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row>
    <row r="349" spans="1:338" x14ac:dyDescent="0.3">
      <c r="A349" s="205" t="str">
        <f>IFERROR(IF($A348+1&gt;'(backend scoring)'!$T$335,"",$A348+1),"")</f>
        <v/>
      </c>
      <c r="B349" s="205" t="str">
        <f>_xlfn.XLOOKUP($A349,'(backend scoring)'!$V$2:$V$333,'(backend scoring)'!$A$2:$A$333,"")</f>
        <v/>
      </c>
      <c r="C349" s="205" t="str">
        <f>IFERROR(VLOOKUP($B349,'Institution Evaluation'!$A$55:$F$345,2,0),IFERROR(VLOOKUP($B349,'Privacy Analyst Evaluation'!$A$46:$F$120,2,0),""))&amp;""</f>
        <v/>
      </c>
      <c r="D349" s="205" t="str">
        <f>IFERROR(VLOOKUP($B349,'Institution Evaluation'!$A$55:$F$345,3,0),IFERROR(VLOOKUP($B349,'Privacy Analyst Evaluation'!$A$46:$F$120,3,0),""))&amp;""</f>
        <v/>
      </c>
      <c r="E349" s="205" t="str">
        <f>IFERROR(VLOOKUP($B349,'Institution Evaluation'!$A$55:$F$345,4,0),IFERROR(VLOOKUP($B349,'Privacy Analyst Evaluation'!$A$46:$F$120,4,0),""))&amp;""</f>
        <v/>
      </c>
      <c r="F349" s="205" t="str">
        <f>IFERROR(VLOOKUP($B349,'Institution Evaluation'!$A$55:$F$345,6,0),IFERROR(VLOOKUP($B349,'Privacy Analyst Evaluation'!$A$46:$F$120,6,0),""))&amp;""</f>
        <v/>
      </c>
      <c r="G349" s="206"/>
      <c r="H349" s="205" t="str">
        <f>IFERROR(IF($H348+1&gt;'(backend scoring)'!$Q$335,"",$H348+1),"")</f>
        <v/>
      </c>
      <c r="I349" s="205" t="str">
        <f>_xlfn.XLOOKUP($H349,'(backend scoring)'!$S$2:$S$333,'(backend scoring)'!$A$2:$A$333,"")</f>
        <v/>
      </c>
      <c r="J349" s="205" t="str">
        <f>IFERROR(VLOOKUP($I349,'Institution Evaluation'!$A$55:$F$345,2,0),IFERROR(VLOOKUP($I349,'Privacy Analyst Evaluation'!$A$46:$F$120,2,0),""))</f>
        <v/>
      </c>
      <c r="K349" s="205" t="str">
        <f>IFERROR(VLOOKUP($I349,'Institution Evaluation'!$A$55:$F$345,3,0),IFERROR(VLOOKUP($I349,'Privacy Analyst Evaluation'!$A$46:$F$120,3,0),""))&amp;""</f>
        <v/>
      </c>
      <c r="L349" s="205" t="str">
        <f>IFERROR(VLOOKUP($I349,'Institution Evaluation'!$A$55:$F$345,4,0),IFERROR(VLOOKUP($I349,'Privacy Analyst Evaluation'!$A$46:$F$120,4,0),""))&amp;""</f>
        <v/>
      </c>
      <c r="M349" s="205" t="str">
        <f>IFERROR(VLOOKUP($I349,'Institution Evaluation'!$A$55:$F$345,6,0),IFERROR(VLOOKUP($I349,'Privacy Analyst Evaluation'!$A$46:$F$120,6,0),""))&amp;""</f>
        <v/>
      </c>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row>
    <row r="350" spans="1:338" x14ac:dyDescent="0.3">
      <c r="A350" s="205" t="str">
        <f>IFERROR(IF($A349+1&gt;'(backend scoring)'!$T$335,"",$A349+1),"")</f>
        <v/>
      </c>
      <c r="B350" s="205" t="str">
        <f>_xlfn.XLOOKUP($A350,'(backend scoring)'!$V$2:$V$333,'(backend scoring)'!$A$2:$A$333,"")</f>
        <v/>
      </c>
      <c r="C350" s="205" t="str">
        <f>IFERROR(VLOOKUP($B350,'Institution Evaluation'!$A$55:$F$345,2,0),IFERROR(VLOOKUP($B350,'Privacy Analyst Evaluation'!$A$46:$F$120,2,0),""))&amp;""</f>
        <v/>
      </c>
      <c r="D350" s="205" t="str">
        <f>IFERROR(VLOOKUP($B350,'Institution Evaluation'!$A$55:$F$345,3,0),IFERROR(VLOOKUP($B350,'Privacy Analyst Evaluation'!$A$46:$F$120,3,0),""))&amp;""</f>
        <v/>
      </c>
      <c r="E350" s="205" t="str">
        <f>IFERROR(VLOOKUP($B350,'Institution Evaluation'!$A$55:$F$345,4,0),IFERROR(VLOOKUP($B350,'Privacy Analyst Evaluation'!$A$46:$F$120,4,0),""))&amp;""</f>
        <v/>
      </c>
      <c r="F350" s="205" t="str">
        <f>IFERROR(VLOOKUP($B350,'Institution Evaluation'!$A$55:$F$345,6,0),IFERROR(VLOOKUP($B350,'Privacy Analyst Evaluation'!$A$46:$F$120,6,0),""))&amp;""</f>
        <v/>
      </c>
      <c r="G350" s="206"/>
      <c r="H350" s="205" t="str">
        <f>IFERROR(IF($H349+1&gt;'(backend scoring)'!$Q$335,"",$H349+1),"")</f>
        <v/>
      </c>
      <c r="I350" s="205" t="str">
        <f>_xlfn.XLOOKUP($H350,'(backend scoring)'!$S$2:$S$333,'(backend scoring)'!$A$2:$A$333,"")</f>
        <v/>
      </c>
      <c r="J350" s="205" t="str">
        <f>IFERROR(VLOOKUP($I350,'Institution Evaluation'!$A$55:$F$345,2,0),IFERROR(VLOOKUP($I350,'Privacy Analyst Evaluation'!$A$46:$F$120,2,0),""))</f>
        <v/>
      </c>
      <c r="K350" s="205" t="str">
        <f>IFERROR(VLOOKUP($I350,'Institution Evaluation'!$A$55:$F$345,3,0),IFERROR(VLOOKUP($I350,'Privacy Analyst Evaluation'!$A$46:$F$120,3,0),""))&amp;""</f>
        <v/>
      </c>
      <c r="L350" s="205" t="str">
        <f>IFERROR(VLOOKUP($I350,'Institution Evaluation'!$A$55:$F$345,4,0),IFERROR(VLOOKUP($I350,'Privacy Analyst Evaluation'!$A$46:$F$120,4,0),""))&amp;""</f>
        <v/>
      </c>
      <c r="M350" s="205" t="str">
        <f>IFERROR(VLOOKUP($I350,'Institution Evaluation'!$A$55:$F$345,6,0),IFERROR(VLOOKUP($I350,'Privacy Analyst Evaluation'!$A$46:$F$120,6,0),""))&amp;""</f>
        <v/>
      </c>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row>
    <row r="351" spans="1:338" x14ac:dyDescent="0.3">
      <c r="A351" s="205" t="str">
        <f>IFERROR(IF($A350+1&gt;'(backend scoring)'!$T$335,"",$A350+1),"")</f>
        <v/>
      </c>
      <c r="B351" s="205" t="str">
        <f>_xlfn.XLOOKUP($A351,'(backend scoring)'!$V$2:$V$333,'(backend scoring)'!$A$2:$A$333,"")</f>
        <v/>
      </c>
      <c r="C351" s="205" t="str">
        <f>IFERROR(VLOOKUP($B351,'Institution Evaluation'!$A$55:$F$345,2,0),IFERROR(VLOOKUP($B351,'Privacy Analyst Evaluation'!$A$46:$F$120,2,0),""))&amp;""</f>
        <v/>
      </c>
      <c r="D351" s="205" t="str">
        <f>IFERROR(VLOOKUP($B351,'Institution Evaluation'!$A$55:$F$345,3,0),IFERROR(VLOOKUP($B351,'Privacy Analyst Evaluation'!$A$46:$F$120,3,0),""))&amp;""</f>
        <v/>
      </c>
      <c r="E351" s="205" t="str">
        <f>IFERROR(VLOOKUP($B351,'Institution Evaluation'!$A$55:$F$345,4,0),IFERROR(VLOOKUP($B351,'Privacy Analyst Evaluation'!$A$46:$F$120,4,0),""))&amp;""</f>
        <v/>
      </c>
      <c r="F351" s="205" t="str">
        <f>IFERROR(VLOOKUP($B351,'Institution Evaluation'!$A$55:$F$345,6,0),IFERROR(VLOOKUP($B351,'Privacy Analyst Evaluation'!$A$46:$F$120,6,0),""))&amp;""</f>
        <v/>
      </c>
      <c r="G351" s="206"/>
      <c r="H351" s="205" t="str">
        <f>IFERROR(IF($H350+1&gt;'(backend scoring)'!$Q$335,"",$H350+1),"")</f>
        <v/>
      </c>
      <c r="I351" s="205" t="str">
        <f>_xlfn.XLOOKUP($H351,'(backend scoring)'!$S$2:$S$333,'(backend scoring)'!$A$2:$A$333,"")</f>
        <v/>
      </c>
      <c r="J351" s="205" t="str">
        <f>IFERROR(VLOOKUP($I351,'Institution Evaluation'!$A$55:$F$345,2,0),IFERROR(VLOOKUP($I351,'Privacy Analyst Evaluation'!$A$46:$F$120,2,0),""))</f>
        <v/>
      </c>
      <c r="K351" s="205" t="str">
        <f>IFERROR(VLOOKUP($I351,'Institution Evaluation'!$A$55:$F$345,3,0),IFERROR(VLOOKUP($I351,'Privacy Analyst Evaluation'!$A$46:$F$120,3,0),""))&amp;""</f>
        <v/>
      </c>
      <c r="L351" s="205" t="str">
        <f>IFERROR(VLOOKUP($I351,'Institution Evaluation'!$A$55:$F$345,4,0),IFERROR(VLOOKUP($I351,'Privacy Analyst Evaluation'!$A$46:$F$120,4,0),""))&amp;""</f>
        <v/>
      </c>
      <c r="M351" s="205" t="str">
        <f>IFERROR(VLOOKUP($I351,'Institution Evaluation'!$A$55:$F$345,6,0),IFERROR(VLOOKUP($I351,'Privacy Analyst Evaluation'!$A$46:$F$120,6,0),""))&amp;""</f>
        <v/>
      </c>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row>
    <row r="352" spans="1:338" x14ac:dyDescent="0.3">
      <c r="A352" s="205" t="str">
        <f>IFERROR(IF($A351+1&gt;'(backend scoring)'!$T$335,"",$A351+1),"")</f>
        <v/>
      </c>
      <c r="B352" s="205" t="str">
        <f>_xlfn.XLOOKUP($A352,'(backend scoring)'!$V$2:$V$333,'(backend scoring)'!$A$2:$A$333,"")</f>
        <v/>
      </c>
      <c r="C352" s="205" t="str">
        <f>IFERROR(VLOOKUP($B352,'Institution Evaluation'!$A$55:$F$345,2,0),IFERROR(VLOOKUP($B352,'Privacy Analyst Evaluation'!$A$46:$F$120,2,0),""))&amp;""</f>
        <v/>
      </c>
      <c r="D352" s="205" t="str">
        <f>IFERROR(VLOOKUP($B352,'Institution Evaluation'!$A$55:$F$345,3,0),IFERROR(VLOOKUP($B352,'Privacy Analyst Evaluation'!$A$46:$F$120,3,0),""))&amp;""</f>
        <v/>
      </c>
      <c r="E352" s="205" t="str">
        <f>IFERROR(VLOOKUP($B352,'Institution Evaluation'!$A$55:$F$345,4,0),IFERROR(VLOOKUP($B352,'Privacy Analyst Evaluation'!$A$46:$F$120,4,0),""))&amp;""</f>
        <v/>
      </c>
      <c r="F352" s="205" t="str">
        <f>IFERROR(VLOOKUP($B352,'Institution Evaluation'!$A$55:$F$345,6,0),IFERROR(VLOOKUP($B352,'Privacy Analyst Evaluation'!$A$46:$F$120,6,0),""))&amp;""</f>
        <v/>
      </c>
      <c r="G352" s="206"/>
      <c r="H352" s="205" t="str">
        <f>IFERROR(IF($H351+1&gt;'(backend scoring)'!$Q$335,"",$H351+1),"")</f>
        <v/>
      </c>
      <c r="I352" s="205" t="str">
        <f>_xlfn.XLOOKUP($H352,'(backend scoring)'!$S$2:$S$333,'(backend scoring)'!$A$2:$A$333,"")</f>
        <v/>
      </c>
      <c r="J352" s="205" t="str">
        <f>IFERROR(VLOOKUP($I352,'Institution Evaluation'!$A$55:$F$345,2,0),IFERROR(VLOOKUP($I352,'Privacy Analyst Evaluation'!$A$46:$F$120,2,0),""))</f>
        <v/>
      </c>
      <c r="K352" s="205" t="str">
        <f>IFERROR(VLOOKUP($I352,'Institution Evaluation'!$A$55:$F$345,3,0),IFERROR(VLOOKUP($I352,'Privacy Analyst Evaluation'!$A$46:$F$120,3,0),""))&amp;""</f>
        <v/>
      </c>
      <c r="L352" s="205" t="str">
        <f>IFERROR(VLOOKUP($I352,'Institution Evaluation'!$A$55:$F$345,4,0),IFERROR(VLOOKUP($I352,'Privacy Analyst Evaluation'!$A$46:$F$120,4,0),""))&amp;""</f>
        <v/>
      </c>
      <c r="M352" s="205" t="str">
        <f>IFERROR(VLOOKUP($I352,'Institution Evaluation'!$A$55:$F$345,6,0),IFERROR(VLOOKUP($I352,'Privacy Analyst Evaluation'!$A$46:$F$120,6,0),""))&amp;""</f>
        <v/>
      </c>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row>
    <row r="353" spans="1:338" x14ac:dyDescent="0.3">
      <c r="A353" s="205" t="str">
        <f>IFERROR(IF($A352+1&gt;'(backend scoring)'!$T$335,"",$A352+1),"")</f>
        <v/>
      </c>
      <c r="B353" s="205" t="str">
        <f>_xlfn.XLOOKUP($A353,'(backend scoring)'!$V$2:$V$333,'(backend scoring)'!$A$2:$A$333,"")</f>
        <v/>
      </c>
      <c r="C353" s="205" t="str">
        <f>IFERROR(VLOOKUP($B353,'Institution Evaluation'!$A$55:$F$345,2,0),IFERROR(VLOOKUP($B353,'Privacy Analyst Evaluation'!$A$46:$F$120,2,0),""))&amp;""</f>
        <v/>
      </c>
      <c r="D353" s="205" t="str">
        <f>IFERROR(VLOOKUP($B353,'Institution Evaluation'!$A$55:$F$345,3,0),IFERROR(VLOOKUP($B353,'Privacy Analyst Evaluation'!$A$46:$F$120,3,0),""))&amp;""</f>
        <v/>
      </c>
      <c r="E353" s="205" t="str">
        <f>IFERROR(VLOOKUP($B353,'Institution Evaluation'!$A$55:$F$345,4,0),IFERROR(VLOOKUP($B353,'Privacy Analyst Evaluation'!$A$46:$F$120,4,0),""))&amp;""</f>
        <v/>
      </c>
      <c r="F353" s="205" t="str">
        <f>IFERROR(VLOOKUP($B353,'Institution Evaluation'!$A$55:$F$345,6,0),IFERROR(VLOOKUP($B353,'Privacy Analyst Evaluation'!$A$46:$F$120,6,0),""))&amp;""</f>
        <v/>
      </c>
      <c r="G353" s="206"/>
      <c r="H353" s="205" t="str">
        <f>IFERROR(IF($H352+1&gt;'(backend scoring)'!$Q$335,"",$H352+1),"")</f>
        <v/>
      </c>
      <c r="I353" s="205" t="str">
        <f>_xlfn.XLOOKUP($H353,'(backend scoring)'!$S$2:$S$333,'(backend scoring)'!$A$2:$A$333,"")</f>
        <v/>
      </c>
      <c r="J353" s="205" t="str">
        <f>IFERROR(VLOOKUP($I353,'Institution Evaluation'!$A$55:$F$345,2,0),IFERROR(VLOOKUP($I353,'Privacy Analyst Evaluation'!$A$46:$F$120,2,0),""))</f>
        <v/>
      </c>
      <c r="K353" s="205" t="str">
        <f>IFERROR(VLOOKUP($I353,'Institution Evaluation'!$A$55:$F$345,3,0),IFERROR(VLOOKUP($I353,'Privacy Analyst Evaluation'!$A$46:$F$120,3,0),""))&amp;""</f>
        <v/>
      </c>
      <c r="L353" s="205" t="str">
        <f>IFERROR(VLOOKUP($I353,'Institution Evaluation'!$A$55:$F$345,4,0),IFERROR(VLOOKUP($I353,'Privacy Analyst Evaluation'!$A$46:$F$120,4,0),""))&amp;""</f>
        <v/>
      </c>
      <c r="M353" s="205" t="str">
        <f>IFERROR(VLOOKUP($I353,'Institution Evaluation'!$A$55:$F$345,6,0),IFERROR(VLOOKUP($I353,'Privacy Analyst Evaluation'!$A$46:$F$120,6,0),""))&amp;""</f>
        <v/>
      </c>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row>
    <row r="354" spans="1:338" x14ac:dyDescent="0.3">
      <c r="A354" s="205" t="str">
        <f>IFERROR(IF($A353+1&gt;'(backend scoring)'!$T$335,"",$A353+1),"")</f>
        <v/>
      </c>
      <c r="B354" s="205" t="str">
        <f>_xlfn.XLOOKUP($A354,'(backend scoring)'!$V$2:$V$333,'(backend scoring)'!$A$2:$A$333,"")</f>
        <v/>
      </c>
      <c r="C354" s="205" t="str">
        <f>IFERROR(VLOOKUP($B354,'Institution Evaluation'!$A$55:$F$345,2,0),IFERROR(VLOOKUP($B354,'Privacy Analyst Evaluation'!$A$46:$F$120,2,0),""))&amp;""</f>
        <v/>
      </c>
      <c r="D354" s="205" t="str">
        <f>IFERROR(VLOOKUP($B354,'Institution Evaluation'!$A$55:$F$345,3,0),IFERROR(VLOOKUP($B354,'Privacy Analyst Evaluation'!$A$46:$F$120,3,0),""))&amp;""</f>
        <v/>
      </c>
      <c r="E354" s="205" t="str">
        <f>IFERROR(VLOOKUP($B354,'Institution Evaluation'!$A$55:$F$345,4,0),IFERROR(VLOOKUP($B354,'Privacy Analyst Evaluation'!$A$46:$F$120,4,0),""))&amp;""</f>
        <v/>
      </c>
      <c r="F354" s="205" t="str">
        <f>IFERROR(VLOOKUP($B354,'Institution Evaluation'!$A$55:$F$345,6,0),IFERROR(VLOOKUP($B354,'Privacy Analyst Evaluation'!$A$46:$F$120,6,0),""))&amp;""</f>
        <v/>
      </c>
      <c r="G354" s="206"/>
      <c r="H354" s="205" t="str">
        <f>IFERROR(IF($H353+1&gt;'(backend scoring)'!$Q$335,"",$H353+1),"")</f>
        <v/>
      </c>
      <c r="I354" s="205" t="str">
        <f>_xlfn.XLOOKUP($H354,'(backend scoring)'!$S$2:$S$333,'(backend scoring)'!$A$2:$A$333,"")</f>
        <v/>
      </c>
      <c r="J354" s="205" t="str">
        <f>IFERROR(VLOOKUP($I354,'Institution Evaluation'!$A$55:$F$345,2,0),IFERROR(VLOOKUP($I354,'Privacy Analyst Evaluation'!$A$46:$F$120,2,0),""))</f>
        <v/>
      </c>
      <c r="K354" s="205" t="str">
        <f>IFERROR(VLOOKUP($I354,'Institution Evaluation'!$A$55:$F$345,3,0),IFERROR(VLOOKUP($I354,'Privacy Analyst Evaluation'!$A$46:$F$120,3,0),""))&amp;""</f>
        <v/>
      </c>
      <c r="L354" s="205" t="str">
        <f>IFERROR(VLOOKUP($I354,'Institution Evaluation'!$A$55:$F$345,4,0),IFERROR(VLOOKUP($I354,'Privacy Analyst Evaluation'!$A$46:$F$120,4,0),""))&amp;""</f>
        <v/>
      </c>
      <c r="M354" s="205" t="str">
        <f>IFERROR(VLOOKUP($I354,'Institution Evaluation'!$A$55:$F$345,6,0),IFERROR(VLOOKUP($I354,'Privacy Analyst Evaluation'!$A$46:$F$120,6,0),""))&amp;""</f>
        <v/>
      </c>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row>
    <row r="355" spans="1:338" x14ac:dyDescent="0.3">
      <c r="A355" s="205" t="str">
        <f>IFERROR(IF($A354+1&gt;'(backend scoring)'!$T$335,"",$A354+1),"")</f>
        <v/>
      </c>
      <c r="B355" s="205" t="str">
        <f>_xlfn.XLOOKUP($A355,'(backend scoring)'!$V$2:$V$333,'(backend scoring)'!$A$2:$A$333,"")</f>
        <v/>
      </c>
      <c r="C355" s="205" t="str">
        <f>IFERROR(VLOOKUP($B355,'Institution Evaluation'!$A$55:$F$345,2,0),IFERROR(VLOOKUP($B355,'Privacy Analyst Evaluation'!$A$46:$F$120,2,0),""))&amp;""</f>
        <v/>
      </c>
      <c r="D355" s="205" t="str">
        <f>IFERROR(VLOOKUP($B355,'Institution Evaluation'!$A$55:$F$345,3,0),IFERROR(VLOOKUP($B355,'Privacy Analyst Evaluation'!$A$46:$F$120,3,0),""))&amp;""</f>
        <v/>
      </c>
      <c r="E355" s="205" t="str">
        <f>IFERROR(VLOOKUP($B355,'Institution Evaluation'!$A$55:$F$345,4,0),IFERROR(VLOOKUP($B355,'Privacy Analyst Evaluation'!$A$46:$F$120,4,0),""))&amp;""</f>
        <v/>
      </c>
      <c r="F355" s="205" t="str">
        <f>IFERROR(VLOOKUP($B355,'Institution Evaluation'!$A$55:$F$345,6,0),IFERROR(VLOOKUP($B355,'Privacy Analyst Evaluation'!$A$46:$F$120,6,0),""))&amp;""</f>
        <v/>
      </c>
      <c r="G355" s="206"/>
      <c r="H355" s="205" t="str">
        <f>IFERROR(IF($H354+1&gt;'(backend scoring)'!$Q$335,"",$H354+1),"")</f>
        <v/>
      </c>
      <c r="I355" s="205" t="str">
        <f>_xlfn.XLOOKUP($H355,'(backend scoring)'!$S$2:$S$333,'(backend scoring)'!$A$2:$A$333,"")</f>
        <v/>
      </c>
      <c r="J355" s="205" t="str">
        <f>IFERROR(VLOOKUP($I355,'Institution Evaluation'!$A$55:$F$345,2,0),IFERROR(VLOOKUP($I355,'Privacy Analyst Evaluation'!$A$46:$F$120,2,0),""))</f>
        <v/>
      </c>
      <c r="K355" s="205" t="str">
        <f>IFERROR(VLOOKUP($I355,'Institution Evaluation'!$A$55:$F$345,3,0),IFERROR(VLOOKUP($I355,'Privacy Analyst Evaluation'!$A$46:$F$120,3,0),""))&amp;""</f>
        <v/>
      </c>
      <c r="L355" s="205" t="str">
        <f>IFERROR(VLOOKUP($I355,'Institution Evaluation'!$A$55:$F$345,4,0),IFERROR(VLOOKUP($I355,'Privacy Analyst Evaluation'!$A$46:$F$120,4,0),""))&amp;""</f>
        <v/>
      </c>
      <c r="M355" s="205" t="str">
        <f>IFERROR(VLOOKUP($I355,'Institution Evaluation'!$A$55:$F$345,6,0),IFERROR(VLOOKUP($I355,'Privacy Analyst Evaluation'!$A$46:$F$120,6,0),""))&amp;""</f>
        <v/>
      </c>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row>
    <row r="356" spans="1:338" x14ac:dyDescent="0.3">
      <c r="A356" s="205" t="str">
        <f>IFERROR(IF($A355+1&gt;'(backend scoring)'!$T$335,"",$A355+1),"")</f>
        <v/>
      </c>
      <c r="B356" s="205" t="str">
        <f>_xlfn.XLOOKUP($A356,'(backend scoring)'!$V$2:$V$333,'(backend scoring)'!$A$2:$A$333,"")</f>
        <v/>
      </c>
      <c r="C356" s="205" t="str">
        <f>IFERROR(VLOOKUP($B356,'Institution Evaluation'!$A$55:$F$345,2,0),IFERROR(VLOOKUP($B356,'Privacy Analyst Evaluation'!$A$46:$F$120,2,0),""))&amp;""</f>
        <v/>
      </c>
      <c r="D356" s="205" t="str">
        <f>IFERROR(VLOOKUP($B356,'Institution Evaluation'!$A$55:$F$345,3,0),IFERROR(VLOOKUP($B356,'Privacy Analyst Evaluation'!$A$46:$F$120,3,0),""))&amp;""</f>
        <v/>
      </c>
      <c r="E356" s="205" t="str">
        <f>IFERROR(VLOOKUP($B356,'Institution Evaluation'!$A$55:$F$345,4,0),IFERROR(VLOOKUP($B356,'Privacy Analyst Evaluation'!$A$46:$F$120,4,0),""))&amp;""</f>
        <v/>
      </c>
      <c r="F356" s="205" t="str">
        <f>IFERROR(VLOOKUP($B356,'Institution Evaluation'!$A$55:$F$345,6,0),IFERROR(VLOOKUP($B356,'Privacy Analyst Evaluation'!$A$46:$F$120,6,0),""))&amp;""</f>
        <v/>
      </c>
      <c r="G356" s="206"/>
      <c r="H356" s="205" t="str">
        <f>IFERROR(IF($H355+1&gt;'(backend scoring)'!$Q$335,"",$H355+1),"")</f>
        <v/>
      </c>
      <c r="I356" s="205" t="str">
        <f>_xlfn.XLOOKUP($H356,'(backend scoring)'!$S$2:$S$333,'(backend scoring)'!$A$2:$A$333,"")</f>
        <v/>
      </c>
      <c r="J356" s="205" t="str">
        <f>IFERROR(VLOOKUP($I356,'Institution Evaluation'!$A$55:$F$345,2,0),IFERROR(VLOOKUP($I356,'Privacy Analyst Evaluation'!$A$46:$F$120,2,0),""))</f>
        <v/>
      </c>
      <c r="K356" s="205" t="str">
        <f>IFERROR(VLOOKUP($I356,'Institution Evaluation'!$A$55:$F$345,3,0),IFERROR(VLOOKUP($I356,'Privacy Analyst Evaluation'!$A$46:$F$120,3,0),""))&amp;""</f>
        <v/>
      </c>
      <c r="L356" s="205" t="str">
        <f>IFERROR(VLOOKUP($I356,'Institution Evaluation'!$A$55:$F$345,4,0),IFERROR(VLOOKUP($I356,'Privacy Analyst Evaluation'!$A$46:$F$120,4,0),""))&amp;""</f>
        <v/>
      </c>
      <c r="M356" s="205" t="str">
        <f>IFERROR(VLOOKUP($I356,'Institution Evaluation'!$A$55:$F$345,6,0),IFERROR(VLOOKUP($I356,'Privacy Analyst Evaluation'!$A$46:$F$120,6,0),""))&amp;""</f>
        <v/>
      </c>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row>
    <row r="357" spans="1:338" x14ac:dyDescent="0.3">
      <c r="A357" s="205" t="str">
        <f>IFERROR(IF($A356+1&gt;'(backend scoring)'!$T$335,"",$A356+1),"")</f>
        <v/>
      </c>
      <c r="B357" s="205" t="str">
        <f>_xlfn.XLOOKUP($A357,'(backend scoring)'!$V$2:$V$333,'(backend scoring)'!$A$2:$A$333,"")</f>
        <v/>
      </c>
      <c r="C357" s="205" t="str">
        <f>IFERROR(VLOOKUP($B357,'Institution Evaluation'!$A$55:$F$345,2,0),IFERROR(VLOOKUP($B357,'Privacy Analyst Evaluation'!$A$46:$F$120,2,0),""))&amp;""</f>
        <v/>
      </c>
      <c r="D357" s="205" t="str">
        <f>IFERROR(VLOOKUP($B357,'Institution Evaluation'!$A$55:$F$345,3,0),IFERROR(VLOOKUP($B357,'Privacy Analyst Evaluation'!$A$46:$F$120,3,0),""))&amp;""</f>
        <v/>
      </c>
      <c r="E357" s="205" t="str">
        <f>IFERROR(VLOOKUP($B357,'Institution Evaluation'!$A$55:$F$345,4,0),IFERROR(VLOOKUP($B357,'Privacy Analyst Evaluation'!$A$46:$F$120,4,0),""))&amp;""</f>
        <v/>
      </c>
      <c r="F357" s="205" t="str">
        <f>IFERROR(VLOOKUP($B357,'Institution Evaluation'!$A$55:$F$345,6,0),IFERROR(VLOOKUP($B357,'Privacy Analyst Evaluation'!$A$46:$F$120,6,0),""))&amp;""</f>
        <v/>
      </c>
      <c r="G357" s="206"/>
      <c r="H357" s="205" t="str">
        <f>IFERROR(IF($H356+1&gt;'(backend scoring)'!$Q$335,"",$H356+1),"")</f>
        <v/>
      </c>
      <c r="I357" s="205" t="str">
        <f>_xlfn.XLOOKUP($H357,'(backend scoring)'!$S$2:$S$333,'(backend scoring)'!$A$2:$A$333,"")</f>
        <v/>
      </c>
      <c r="J357" s="205" t="str">
        <f>IFERROR(VLOOKUP($I357,'Institution Evaluation'!$A$55:$F$345,2,0),IFERROR(VLOOKUP($I357,'Privacy Analyst Evaluation'!$A$46:$F$120,2,0),""))</f>
        <v/>
      </c>
      <c r="K357" s="205" t="str">
        <f>IFERROR(VLOOKUP($I357,'Institution Evaluation'!$A$55:$F$345,3,0),IFERROR(VLOOKUP($I357,'Privacy Analyst Evaluation'!$A$46:$F$120,3,0),""))&amp;""</f>
        <v/>
      </c>
      <c r="L357" s="205" t="str">
        <f>IFERROR(VLOOKUP($I357,'Institution Evaluation'!$A$55:$F$345,4,0),IFERROR(VLOOKUP($I357,'Privacy Analyst Evaluation'!$A$46:$F$120,4,0),""))&amp;""</f>
        <v/>
      </c>
      <c r="M357" s="205" t="str">
        <f>IFERROR(VLOOKUP($I357,'Institution Evaluation'!$A$55:$F$345,6,0),IFERROR(VLOOKUP($I357,'Privacy Analyst Evaluation'!$A$46:$F$120,6,0),""))&amp;""</f>
        <v/>
      </c>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row>
    <row r="358" spans="1:338" x14ac:dyDescent="0.3">
      <c r="A358" s="205" t="str">
        <f>IFERROR(IF($A357+1&gt;'(backend scoring)'!$T$335,"",$A357+1),"")</f>
        <v/>
      </c>
      <c r="B358" s="205" t="str">
        <f>_xlfn.XLOOKUP($A358,'(backend scoring)'!$V$2:$V$333,'(backend scoring)'!$A$2:$A$333,"")</f>
        <v/>
      </c>
      <c r="C358" s="205" t="str">
        <f>IFERROR(VLOOKUP($B358,'Institution Evaluation'!$A$55:$F$345,2,0),IFERROR(VLOOKUP($B358,'Privacy Analyst Evaluation'!$A$46:$F$120,2,0),""))&amp;""</f>
        <v/>
      </c>
      <c r="D358" s="205" t="str">
        <f>IFERROR(VLOOKUP($B358,'Institution Evaluation'!$A$55:$F$345,3,0),IFERROR(VLOOKUP($B358,'Privacy Analyst Evaluation'!$A$46:$F$120,3,0),""))&amp;""</f>
        <v/>
      </c>
      <c r="E358" s="205" t="str">
        <f>IFERROR(VLOOKUP($B358,'Institution Evaluation'!$A$55:$F$345,4,0),IFERROR(VLOOKUP($B358,'Privacy Analyst Evaluation'!$A$46:$F$120,4,0),""))&amp;""</f>
        <v/>
      </c>
      <c r="F358" s="205" t="str">
        <f>IFERROR(VLOOKUP($B358,'Institution Evaluation'!$A$55:$F$345,6,0),IFERROR(VLOOKUP($B358,'Privacy Analyst Evaluation'!$A$46:$F$120,6,0),""))&amp;""</f>
        <v/>
      </c>
      <c r="G358" s="206"/>
      <c r="H358" s="205" t="str">
        <f>IFERROR(IF($H357+1&gt;'(backend scoring)'!$Q$335,"",$H357+1),"")</f>
        <v/>
      </c>
      <c r="I358" s="205" t="str">
        <f>_xlfn.XLOOKUP($H358,'(backend scoring)'!$S$2:$S$333,'(backend scoring)'!$A$2:$A$333,"")</f>
        <v/>
      </c>
      <c r="J358" s="205" t="str">
        <f>IFERROR(VLOOKUP($I358,'Institution Evaluation'!$A$55:$F$345,2,0),IFERROR(VLOOKUP($I358,'Privacy Analyst Evaluation'!$A$46:$F$120,2,0),""))</f>
        <v/>
      </c>
      <c r="K358" s="205" t="str">
        <f>IFERROR(VLOOKUP($I358,'Institution Evaluation'!$A$55:$F$345,3,0),IFERROR(VLOOKUP($I358,'Privacy Analyst Evaluation'!$A$46:$F$120,3,0),""))&amp;""</f>
        <v/>
      </c>
      <c r="L358" s="205" t="str">
        <f>IFERROR(VLOOKUP($I358,'Institution Evaluation'!$A$55:$F$345,4,0),IFERROR(VLOOKUP($I358,'Privacy Analyst Evaluation'!$A$46:$F$120,4,0),""))&amp;""</f>
        <v/>
      </c>
      <c r="M358" s="205" t="str">
        <f>IFERROR(VLOOKUP($I358,'Institution Evaluation'!$A$55:$F$345,6,0),IFERROR(VLOOKUP($I358,'Privacy Analyst Evaluation'!$A$46:$F$120,6,0),""))&amp;""</f>
        <v/>
      </c>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row>
    <row r="359" spans="1:338" x14ac:dyDescent="0.3">
      <c r="A359" s="205" t="str">
        <f>IFERROR(IF($A358+1&gt;'(backend scoring)'!$T$335,"",$A358+1),"")</f>
        <v/>
      </c>
      <c r="B359" s="205" t="str">
        <f>_xlfn.XLOOKUP($A359,'(backend scoring)'!$V$2:$V$333,'(backend scoring)'!$A$2:$A$333,"")</f>
        <v/>
      </c>
      <c r="C359" s="205" t="str">
        <f>IFERROR(VLOOKUP($B359,'Institution Evaluation'!$A$55:$F$345,2,0),IFERROR(VLOOKUP($B359,'Privacy Analyst Evaluation'!$A$46:$F$120,2,0),""))&amp;""</f>
        <v/>
      </c>
      <c r="D359" s="205" t="str">
        <f>IFERROR(VLOOKUP($B359,'Institution Evaluation'!$A$55:$F$345,3,0),IFERROR(VLOOKUP($B359,'Privacy Analyst Evaluation'!$A$46:$F$120,3,0),""))&amp;""</f>
        <v/>
      </c>
      <c r="E359" s="205" t="str">
        <f>IFERROR(VLOOKUP($B359,'Institution Evaluation'!$A$55:$F$345,4,0),IFERROR(VLOOKUP($B359,'Privacy Analyst Evaluation'!$A$46:$F$120,4,0),""))&amp;""</f>
        <v/>
      </c>
      <c r="F359" s="205" t="str">
        <f>IFERROR(VLOOKUP($B359,'Institution Evaluation'!$A$55:$F$345,6,0),IFERROR(VLOOKUP($B359,'Privacy Analyst Evaluation'!$A$46:$F$120,6,0),""))&amp;""</f>
        <v/>
      </c>
      <c r="G359" s="206"/>
      <c r="H359" s="205" t="str">
        <f>IFERROR(IF($H358+1&gt;'(backend scoring)'!$Q$335,"",$H358+1),"")</f>
        <v/>
      </c>
      <c r="I359" s="205" t="str">
        <f>_xlfn.XLOOKUP($H359,'(backend scoring)'!$S$2:$S$333,'(backend scoring)'!$A$2:$A$333,"")</f>
        <v/>
      </c>
      <c r="J359" s="205" t="str">
        <f>IFERROR(VLOOKUP($I359,'Institution Evaluation'!$A$55:$F$345,2,0),IFERROR(VLOOKUP($I359,'Privacy Analyst Evaluation'!$A$46:$F$120,2,0),""))</f>
        <v/>
      </c>
      <c r="K359" s="205" t="str">
        <f>IFERROR(VLOOKUP($I359,'Institution Evaluation'!$A$55:$F$345,3,0),IFERROR(VLOOKUP($I359,'Privacy Analyst Evaluation'!$A$46:$F$120,3,0),""))&amp;""</f>
        <v/>
      </c>
      <c r="L359" s="205" t="str">
        <f>IFERROR(VLOOKUP($I359,'Institution Evaluation'!$A$55:$F$345,4,0),IFERROR(VLOOKUP($I359,'Privacy Analyst Evaluation'!$A$46:$F$120,4,0),""))&amp;""</f>
        <v/>
      </c>
      <c r="M359" s="205" t="str">
        <f>IFERROR(VLOOKUP($I359,'Institution Evaluation'!$A$55:$F$345,6,0),IFERROR(VLOOKUP($I359,'Privacy Analyst Evaluation'!$A$46:$F$120,6,0),""))&amp;""</f>
        <v/>
      </c>
    </row>
    <row r="360" spans="1:338" x14ac:dyDescent="0.3">
      <c r="A360" s="205" t="str">
        <f>IFERROR(IF($A359+1&gt;'(backend scoring)'!$T$335,"",$A359+1),"")</f>
        <v/>
      </c>
      <c r="B360" s="205" t="str">
        <f>_xlfn.XLOOKUP($A360,'(backend scoring)'!$V$2:$V$333,'(backend scoring)'!$A$2:$A$333,"")</f>
        <v/>
      </c>
      <c r="C360" s="205" t="str">
        <f>IFERROR(VLOOKUP($B360,'Institution Evaluation'!$A$55:$F$345,2,0),IFERROR(VLOOKUP($B360,'Privacy Analyst Evaluation'!$A$46:$F$120,2,0),""))&amp;""</f>
        <v/>
      </c>
      <c r="D360" s="205" t="str">
        <f>IFERROR(VLOOKUP($B360,'Institution Evaluation'!$A$55:$F$345,3,0),IFERROR(VLOOKUP($B360,'Privacy Analyst Evaluation'!$A$46:$F$120,3,0),""))&amp;""</f>
        <v/>
      </c>
      <c r="E360" s="205" t="str">
        <f>IFERROR(VLOOKUP($B360,'Institution Evaluation'!$A$55:$F$345,4,0),IFERROR(VLOOKUP($B360,'Privacy Analyst Evaluation'!$A$46:$F$120,4,0),""))&amp;""</f>
        <v/>
      </c>
      <c r="F360" s="205" t="str">
        <f>IFERROR(VLOOKUP($B360,'Institution Evaluation'!$A$55:$F$345,6,0),IFERROR(VLOOKUP($B360,'Privacy Analyst Evaluation'!$A$46:$F$120,6,0),""))&amp;""</f>
        <v/>
      </c>
      <c r="G360" s="206"/>
      <c r="H360" s="205" t="str">
        <f>IFERROR(IF($H359+1&gt;'(backend scoring)'!$Q$335,"",$H359+1),"")</f>
        <v/>
      </c>
      <c r="I360" s="205" t="str">
        <f>_xlfn.XLOOKUP($H360,'(backend scoring)'!$S$2:$S$333,'(backend scoring)'!$A$2:$A$333,"")</f>
        <v/>
      </c>
      <c r="J360" s="205" t="str">
        <f>IFERROR(VLOOKUP($I360,'Institution Evaluation'!$A$55:$F$345,2,0),IFERROR(VLOOKUP($I360,'Privacy Analyst Evaluation'!$A$46:$F$120,2,0),""))</f>
        <v/>
      </c>
      <c r="K360" s="205" t="str">
        <f>IFERROR(VLOOKUP($I360,'Institution Evaluation'!$A$55:$F$345,3,0),IFERROR(VLOOKUP($I360,'Privacy Analyst Evaluation'!$A$46:$F$120,3,0),""))&amp;""</f>
        <v/>
      </c>
      <c r="L360" s="205" t="str">
        <f>IFERROR(VLOOKUP($I360,'Institution Evaluation'!$A$55:$F$345,4,0),IFERROR(VLOOKUP($I360,'Privacy Analyst Evaluation'!$A$46:$F$120,4,0),""))&amp;""</f>
        <v/>
      </c>
      <c r="M360" s="205" t="str">
        <f>IFERROR(VLOOKUP($I360,'Institution Evaluation'!$A$55:$F$345,6,0),IFERROR(VLOOKUP($I360,'Privacy Analyst Evaluation'!$A$46:$F$120,6,0),""))&amp;""</f>
        <v/>
      </c>
    </row>
    <row r="361" spans="1:338" x14ac:dyDescent="0.3">
      <c r="A361" s="205" t="str">
        <f>IFERROR(IF($A360+1&gt;'(backend scoring)'!$T$335,"",$A360+1),"")</f>
        <v/>
      </c>
      <c r="B361" s="205" t="str">
        <f>_xlfn.XLOOKUP($A361,'(backend scoring)'!$V$2:$V$333,'(backend scoring)'!$A$2:$A$333,"")</f>
        <v/>
      </c>
      <c r="C361" s="205" t="str">
        <f>IFERROR(VLOOKUP($B361,'Institution Evaluation'!$A$55:$F$345,2,0),IFERROR(VLOOKUP($B361,'Privacy Analyst Evaluation'!$A$46:$F$120,2,0),""))&amp;""</f>
        <v/>
      </c>
      <c r="D361" s="205" t="str">
        <f>IFERROR(VLOOKUP($B361,'Institution Evaluation'!$A$55:$F$345,3,0),IFERROR(VLOOKUP($B361,'Privacy Analyst Evaluation'!$A$46:$F$120,3,0),""))&amp;""</f>
        <v/>
      </c>
      <c r="E361" s="205" t="str">
        <f>IFERROR(VLOOKUP($B361,'Institution Evaluation'!$A$55:$F$345,4,0),IFERROR(VLOOKUP($B361,'Privacy Analyst Evaluation'!$A$46:$F$120,4,0),""))&amp;""</f>
        <v/>
      </c>
      <c r="F361" s="205" t="str">
        <f>IFERROR(VLOOKUP($B361,'Institution Evaluation'!$A$55:$F$345,6,0),IFERROR(VLOOKUP($B361,'Privacy Analyst Evaluation'!$A$46:$F$120,6,0),""))&amp;""</f>
        <v/>
      </c>
      <c r="G361" s="206"/>
      <c r="H361" s="205" t="str">
        <f>IFERROR(IF($H360+1&gt;'(backend scoring)'!$Q$335,"",$H360+1),"")</f>
        <v/>
      </c>
      <c r="I361" s="205" t="str">
        <f>_xlfn.XLOOKUP($H361,'(backend scoring)'!$S$2:$S$333,'(backend scoring)'!$A$2:$A$333,"")</f>
        <v/>
      </c>
      <c r="J361" s="205" t="str">
        <f>IFERROR(VLOOKUP($I361,'Institution Evaluation'!$A$55:$F$345,2,0),IFERROR(VLOOKUP($I361,'Privacy Analyst Evaluation'!$A$46:$F$120,2,0),""))</f>
        <v/>
      </c>
      <c r="K361" s="205" t="str">
        <f>IFERROR(VLOOKUP($I361,'Institution Evaluation'!$A$55:$F$345,3,0),IFERROR(VLOOKUP($I361,'Privacy Analyst Evaluation'!$A$46:$F$120,3,0),""))&amp;""</f>
        <v/>
      </c>
      <c r="L361" s="205" t="str">
        <f>IFERROR(VLOOKUP($I361,'Institution Evaluation'!$A$55:$F$345,4,0),IFERROR(VLOOKUP($I361,'Privacy Analyst Evaluation'!$A$46:$F$120,4,0),""))&amp;""</f>
        <v/>
      </c>
      <c r="M361" s="205" t="str">
        <f>IFERROR(VLOOKUP($I361,'Institution Evaluation'!$A$55:$F$345,6,0),IFERROR(VLOOKUP($I361,'Privacy Analyst Evaluation'!$A$46:$F$120,6,0),""))&amp;""</f>
        <v/>
      </c>
    </row>
    <row r="362" spans="1:338" x14ac:dyDescent="0.3">
      <c r="A362" s="205" t="str">
        <f>IFERROR(IF($A361+1&gt;'(backend scoring)'!$T$335,"",$A361+1),"")</f>
        <v/>
      </c>
      <c r="B362" s="205" t="str">
        <f>_xlfn.XLOOKUP($A362,'(backend scoring)'!$V$2:$V$333,'(backend scoring)'!$A$2:$A$333,"")</f>
        <v/>
      </c>
      <c r="C362" s="205" t="str">
        <f>IFERROR(VLOOKUP($B362,'Institution Evaluation'!$A$55:$F$345,2,0),IFERROR(VLOOKUP($B362,'Privacy Analyst Evaluation'!$A$46:$F$120,2,0),""))&amp;""</f>
        <v/>
      </c>
      <c r="D362" s="205" t="str">
        <f>IFERROR(VLOOKUP($B362,'Institution Evaluation'!$A$55:$F$345,3,0),IFERROR(VLOOKUP($B362,'Privacy Analyst Evaluation'!$A$46:$F$120,3,0),""))&amp;""</f>
        <v/>
      </c>
      <c r="E362" s="205" t="str">
        <f>IFERROR(VLOOKUP($B362,'Institution Evaluation'!$A$55:$F$345,4,0),IFERROR(VLOOKUP($B362,'Privacy Analyst Evaluation'!$A$46:$F$120,4,0),""))&amp;""</f>
        <v/>
      </c>
      <c r="F362" s="205" t="str">
        <f>IFERROR(VLOOKUP($B362,'Institution Evaluation'!$A$55:$F$345,6,0),IFERROR(VLOOKUP($B362,'Privacy Analyst Evaluation'!$A$46:$F$120,6,0),""))&amp;""</f>
        <v/>
      </c>
      <c r="G362" s="206"/>
      <c r="H362" s="205" t="str">
        <f>IFERROR(IF($H361+1&gt;'(backend scoring)'!$Q$335,"",$H361+1),"")</f>
        <v/>
      </c>
      <c r="I362" s="205" t="str">
        <f>_xlfn.XLOOKUP($H362,'(backend scoring)'!$S$2:$S$333,'(backend scoring)'!$A$2:$A$333,"")</f>
        <v/>
      </c>
      <c r="J362" s="205" t="str">
        <f>IFERROR(VLOOKUP($I362,'Institution Evaluation'!$A$55:$F$345,2,0),IFERROR(VLOOKUP($I362,'Privacy Analyst Evaluation'!$A$46:$F$120,2,0),""))</f>
        <v/>
      </c>
      <c r="K362" s="205" t="str">
        <f>IFERROR(VLOOKUP($I362,'Institution Evaluation'!$A$55:$F$345,3,0),IFERROR(VLOOKUP($I362,'Privacy Analyst Evaluation'!$A$46:$F$120,3,0),""))&amp;""</f>
        <v/>
      </c>
      <c r="L362" s="205" t="str">
        <f>IFERROR(VLOOKUP($I362,'Institution Evaluation'!$A$55:$F$345,4,0),IFERROR(VLOOKUP($I362,'Privacy Analyst Evaluation'!$A$46:$F$120,4,0),""))&amp;""</f>
        <v/>
      </c>
      <c r="M362" s="205" t="str">
        <f>IFERROR(VLOOKUP($I362,'Institution Evaluation'!$A$55:$F$345,6,0),IFERROR(VLOOKUP($I362,'Privacy Analyst Evaluation'!$A$46:$F$120,6,0),""))&amp;""</f>
        <v/>
      </c>
    </row>
    <row r="363" spans="1:338" x14ac:dyDescent="0.3">
      <c r="A363" s="205" t="str">
        <f>IFERROR(IF($A362+1&gt;'(backend scoring)'!$T$335,"",$A362+1),"")</f>
        <v/>
      </c>
      <c r="B363" s="205" t="str">
        <f>_xlfn.XLOOKUP($A363,'(backend scoring)'!$V$2:$V$333,'(backend scoring)'!$A$2:$A$333,"")</f>
        <v/>
      </c>
      <c r="C363" s="205" t="str">
        <f>IFERROR(VLOOKUP($B363,'Institution Evaluation'!$A$55:$F$345,2,0),IFERROR(VLOOKUP($B363,'Privacy Analyst Evaluation'!$A$46:$F$120,2,0),""))&amp;""</f>
        <v/>
      </c>
      <c r="D363" s="205" t="str">
        <f>IFERROR(VLOOKUP($B363,'Institution Evaluation'!$A$55:$F$345,3,0),IFERROR(VLOOKUP($B363,'Privacy Analyst Evaluation'!$A$46:$F$120,3,0),""))&amp;""</f>
        <v/>
      </c>
      <c r="E363" s="205" t="str">
        <f>IFERROR(VLOOKUP($B363,'Institution Evaluation'!$A$55:$F$345,4,0),IFERROR(VLOOKUP($B363,'Privacy Analyst Evaluation'!$A$46:$F$120,4,0),""))&amp;""</f>
        <v/>
      </c>
      <c r="F363" s="205" t="str">
        <f>IFERROR(VLOOKUP($B363,'Institution Evaluation'!$A$55:$F$345,6,0),IFERROR(VLOOKUP($B363,'Privacy Analyst Evaluation'!$A$46:$F$120,6,0),""))&amp;""</f>
        <v/>
      </c>
      <c r="G363" s="206"/>
      <c r="H363" s="205" t="str">
        <f>IFERROR(IF($H362+1&gt;'(backend scoring)'!$Q$335,"",$H362+1),"")</f>
        <v/>
      </c>
      <c r="I363" s="205" t="str">
        <f>_xlfn.XLOOKUP($H363,'(backend scoring)'!$S$2:$S$333,'(backend scoring)'!$A$2:$A$333,"")</f>
        <v/>
      </c>
      <c r="J363" s="205" t="str">
        <f>IFERROR(VLOOKUP($I363,'Institution Evaluation'!$A$55:$F$345,2,0),IFERROR(VLOOKUP($I363,'Privacy Analyst Evaluation'!$A$46:$F$120,2,0),""))</f>
        <v/>
      </c>
      <c r="K363" s="205" t="str">
        <f>IFERROR(VLOOKUP($I363,'Institution Evaluation'!$A$55:$F$345,3,0),IFERROR(VLOOKUP($I363,'Privacy Analyst Evaluation'!$A$46:$F$120,3,0),""))&amp;""</f>
        <v/>
      </c>
      <c r="L363" s="205" t="str">
        <f>IFERROR(VLOOKUP($I363,'Institution Evaluation'!$A$55:$F$345,4,0),IFERROR(VLOOKUP($I363,'Privacy Analyst Evaluation'!$A$46:$F$120,4,0),""))&amp;""</f>
        <v/>
      </c>
      <c r="M363" s="205" t="str">
        <f>IFERROR(VLOOKUP($I363,'Institution Evaluation'!$A$55:$F$345,6,0),IFERROR(VLOOKUP($I363,'Privacy Analyst Evaluation'!$A$46:$F$120,6,0),""))&amp;""</f>
        <v/>
      </c>
    </row>
    <row r="364" spans="1:338" x14ac:dyDescent="0.3">
      <c r="A364" s="205" t="str">
        <f>IFERROR(IF($A363+1&gt;'(backend scoring)'!$T$335,"",$A363+1),"")</f>
        <v/>
      </c>
      <c r="B364" s="205" t="str">
        <f>_xlfn.XLOOKUP($A364,'(backend scoring)'!$V$2:$V$333,'(backend scoring)'!$A$2:$A$333,"")</f>
        <v/>
      </c>
      <c r="C364" s="205" t="str">
        <f>IFERROR(VLOOKUP($B364,'Institution Evaluation'!$A$55:$F$345,2,0),IFERROR(VLOOKUP($B364,'Privacy Analyst Evaluation'!$A$46:$F$120,2,0),""))&amp;""</f>
        <v/>
      </c>
      <c r="D364" s="205" t="str">
        <f>IFERROR(VLOOKUP($B364,'Institution Evaluation'!$A$55:$F$345,3,0),IFERROR(VLOOKUP($B364,'Privacy Analyst Evaluation'!$A$46:$F$120,3,0),""))&amp;""</f>
        <v/>
      </c>
      <c r="E364" s="205" t="str">
        <f>IFERROR(VLOOKUP($B364,'Institution Evaluation'!$A$55:$F$345,4,0),IFERROR(VLOOKUP($B364,'Privacy Analyst Evaluation'!$A$46:$F$120,4,0),""))&amp;""</f>
        <v/>
      </c>
      <c r="F364" s="205" t="str">
        <f>IFERROR(VLOOKUP($B364,'Institution Evaluation'!$A$55:$F$345,6,0),IFERROR(VLOOKUP($B364,'Privacy Analyst Evaluation'!$A$46:$F$120,6,0),""))&amp;""</f>
        <v/>
      </c>
      <c r="G364" s="206"/>
      <c r="H364" s="205" t="str">
        <f>IFERROR(IF($H363+1&gt;'(backend scoring)'!$Q$335,"",$H363+1),"")</f>
        <v/>
      </c>
      <c r="I364" s="205" t="str">
        <f>_xlfn.XLOOKUP($H364,'(backend scoring)'!$S$2:$S$333,'(backend scoring)'!$A$2:$A$333,"")</f>
        <v/>
      </c>
      <c r="J364" s="205" t="str">
        <f>IFERROR(VLOOKUP($I364,'Institution Evaluation'!$A$55:$F$345,2,0),IFERROR(VLOOKUP($I364,'Privacy Analyst Evaluation'!$A$46:$F$120,2,0),""))</f>
        <v/>
      </c>
      <c r="K364" s="205" t="str">
        <f>IFERROR(VLOOKUP($I364,'Institution Evaluation'!$A$55:$F$345,3,0),IFERROR(VLOOKUP($I364,'Privacy Analyst Evaluation'!$A$46:$F$120,3,0),""))&amp;""</f>
        <v/>
      </c>
      <c r="L364" s="205" t="str">
        <f>IFERROR(VLOOKUP($I364,'Institution Evaluation'!$A$55:$F$345,4,0),IFERROR(VLOOKUP($I364,'Privacy Analyst Evaluation'!$A$46:$F$120,4,0),""))&amp;""</f>
        <v/>
      </c>
      <c r="M364" s="205" t="str">
        <f>IFERROR(VLOOKUP($I364,'Institution Evaluation'!$A$55:$F$345,6,0),IFERROR(VLOOKUP($I364,'Privacy Analyst Evaluation'!$A$46:$F$120,6,0),""))&amp;""</f>
        <v/>
      </c>
    </row>
    <row r="365" spans="1:338" x14ac:dyDescent="0.3">
      <c r="A365" s="205" t="str">
        <f>IFERROR(IF($A364+1&gt;'(backend scoring)'!$T$335,"",$A364+1),"")</f>
        <v/>
      </c>
      <c r="B365" s="205" t="str">
        <f>_xlfn.XLOOKUP($A365,'(backend scoring)'!$V$2:$V$333,'(backend scoring)'!$A$2:$A$333,"")</f>
        <v/>
      </c>
      <c r="C365" s="205" t="str">
        <f>IFERROR(VLOOKUP($B365,'Institution Evaluation'!$A$55:$F$345,2,0),IFERROR(VLOOKUP($B365,'Privacy Analyst Evaluation'!$A$46:$F$120,2,0),""))&amp;""</f>
        <v/>
      </c>
      <c r="D365" s="205" t="str">
        <f>IFERROR(VLOOKUP($B365,'Institution Evaluation'!$A$55:$F$345,3,0),IFERROR(VLOOKUP($B365,'Privacy Analyst Evaluation'!$A$46:$F$120,3,0),""))&amp;""</f>
        <v/>
      </c>
      <c r="E365" s="205" t="str">
        <f>IFERROR(VLOOKUP($B365,'Institution Evaluation'!$A$55:$F$345,4,0),IFERROR(VLOOKUP($B365,'Privacy Analyst Evaluation'!$A$46:$F$120,4,0),""))&amp;""</f>
        <v/>
      </c>
      <c r="F365" s="205" t="str">
        <f>IFERROR(VLOOKUP($B365,'Institution Evaluation'!$A$55:$F$345,6,0),IFERROR(VLOOKUP($B365,'Privacy Analyst Evaluation'!$A$46:$F$120,6,0),""))&amp;""</f>
        <v/>
      </c>
      <c r="G365" s="206"/>
      <c r="H365" s="205" t="str">
        <f>IFERROR(IF($H364+1&gt;'(backend scoring)'!$Q$335,"",$H364+1),"")</f>
        <v/>
      </c>
      <c r="I365" s="205" t="str">
        <f>_xlfn.XLOOKUP($H365,'(backend scoring)'!$S$2:$S$333,'(backend scoring)'!$A$2:$A$333,"")</f>
        <v/>
      </c>
      <c r="J365" s="205" t="str">
        <f>IFERROR(VLOOKUP($I365,'Institution Evaluation'!$A$55:$F$345,2,0),IFERROR(VLOOKUP($I365,'Privacy Analyst Evaluation'!$A$46:$F$120,2,0),""))</f>
        <v/>
      </c>
      <c r="K365" s="205" t="str">
        <f>IFERROR(VLOOKUP($I365,'Institution Evaluation'!$A$55:$F$345,3,0),IFERROR(VLOOKUP($I365,'Privacy Analyst Evaluation'!$A$46:$F$120,3,0),""))&amp;""</f>
        <v/>
      </c>
      <c r="L365" s="205" t="str">
        <f>IFERROR(VLOOKUP($I365,'Institution Evaluation'!$A$55:$F$345,4,0),IFERROR(VLOOKUP($I365,'Privacy Analyst Evaluation'!$A$46:$F$120,4,0),""))&amp;""</f>
        <v/>
      </c>
      <c r="M365" s="205" t="str">
        <f>IFERROR(VLOOKUP($I365,'Institution Evaluation'!$A$55:$F$345,6,0),IFERROR(VLOOKUP($I365,'Privacy Analyst Evaluation'!$A$46:$F$120,6,0),""))&amp;""</f>
        <v/>
      </c>
    </row>
    <row r="366" spans="1:338" x14ac:dyDescent="0.3">
      <c r="A366" s="205" t="str">
        <f>IFERROR(IF($A365+1&gt;'(backend scoring)'!$T$335,"",$A365+1),"")</f>
        <v/>
      </c>
      <c r="B366" s="205" t="str">
        <f>_xlfn.XLOOKUP($A366,'(backend scoring)'!$V$2:$V$333,'(backend scoring)'!$A$2:$A$333,"")</f>
        <v/>
      </c>
      <c r="C366" s="205" t="str">
        <f>IFERROR(VLOOKUP($B366,'Institution Evaluation'!$A$55:$F$345,2,0),IFERROR(VLOOKUP($B366,'Privacy Analyst Evaluation'!$A$46:$F$120,2,0),""))&amp;""</f>
        <v/>
      </c>
      <c r="D366" s="205" t="str">
        <f>IFERROR(VLOOKUP($B366,'Institution Evaluation'!$A$55:$F$345,3,0),IFERROR(VLOOKUP($B366,'Privacy Analyst Evaluation'!$A$46:$F$120,3,0),""))&amp;""</f>
        <v/>
      </c>
      <c r="E366" s="205" t="str">
        <f>IFERROR(VLOOKUP($B366,'Institution Evaluation'!$A$55:$F$345,4,0),IFERROR(VLOOKUP($B366,'Privacy Analyst Evaluation'!$A$46:$F$120,4,0),""))&amp;""</f>
        <v/>
      </c>
      <c r="F366" s="205" t="str">
        <f>IFERROR(VLOOKUP($B366,'Institution Evaluation'!$A$55:$F$345,6,0),IFERROR(VLOOKUP($B366,'Privacy Analyst Evaluation'!$A$46:$F$120,6,0),""))&amp;""</f>
        <v/>
      </c>
      <c r="G366" s="206"/>
      <c r="H366" s="205" t="str">
        <f>IFERROR(IF($H365+1&gt;'(backend scoring)'!$Q$335,"",$H365+1),"")</f>
        <v/>
      </c>
      <c r="I366" s="205" t="str">
        <f>_xlfn.XLOOKUP($H366,'(backend scoring)'!$S$2:$S$333,'(backend scoring)'!$A$2:$A$333,"")</f>
        <v/>
      </c>
      <c r="J366" s="205" t="str">
        <f>IFERROR(VLOOKUP($I366,'Institution Evaluation'!$A$55:$F$345,2,0),IFERROR(VLOOKUP($I366,'Privacy Analyst Evaluation'!$A$46:$F$120,2,0),""))</f>
        <v/>
      </c>
      <c r="K366" s="205" t="str">
        <f>IFERROR(VLOOKUP($I366,'Institution Evaluation'!$A$55:$F$345,3,0),IFERROR(VLOOKUP($I366,'Privacy Analyst Evaluation'!$A$46:$F$120,3,0),""))&amp;""</f>
        <v/>
      </c>
      <c r="L366" s="205" t="str">
        <f>IFERROR(VLOOKUP($I366,'Institution Evaluation'!$A$55:$F$345,4,0),IFERROR(VLOOKUP($I366,'Privacy Analyst Evaluation'!$A$46:$F$120,4,0),""))&amp;""</f>
        <v/>
      </c>
      <c r="M366" s="205" t="str">
        <f>IFERROR(VLOOKUP($I366,'Institution Evaluation'!$A$55:$F$345,6,0),IFERROR(VLOOKUP($I366,'Privacy Analyst Evaluation'!$A$46:$F$120,6,0),""))&amp;""</f>
        <v/>
      </c>
    </row>
    <row r="367" spans="1:338" x14ac:dyDescent="0.3">
      <c r="A367" s="205" t="str">
        <f>IFERROR(IF($A366+1&gt;'(backend scoring)'!$T$335,"",$A366+1),"")</f>
        <v/>
      </c>
      <c r="B367" s="205" t="str">
        <f>_xlfn.XLOOKUP($A367,'(backend scoring)'!$V$2:$V$333,'(backend scoring)'!$A$2:$A$333,"")</f>
        <v/>
      </c>
      <c r="C367" s="205" t="str">
        <f>IFERROR(VLOOKUP($B367,'Institution Evaluation'!$A$55:$F$345,2,0),IFERROR(VLOOKUP($B367,'Privacy Analyst Evaluation'!$A$46:$F$120,2,0),""))&amp;""</f>
        <v/>
      </c>
      <c r="D367" s="205" t="str">
        <f>IFERROR(VLOOKUP($B367,'Institution Evaluation'!$A$55:$F$345,3,0),IFERROR(VLOOKUP($B367,'Privacy Analyst Evaluation'!$A$46:$F$120,3,0),""))&amp;""</f>
        <v/>
      </c>
      <c r="E367" s="205" t="str">
        <f>IFERROR(VLOOKUP($B367,'Institution Evaluation'!$A$55:$F$345,4,0),IFERROR(VLOOKUP($B367,'Privacy Analyst Evaluation'!$A$46:$F$120,4,0),""))&amp;""</f>
        <v/>
      </c>
      <c r="F367" s="205" t="str">
        <f>IFERROR(VLOOKUP($B367,'Institution Evaluation'!$A$55:$F$345,6,0),IFERROR(VLOOKUP($B367,'Privacy Analyst Evaluation'!$A$46:$F$120,6,0),""))&amp;""</f>
        <v/>
      </c>
      <c r="G367" s="206"/>
      <c r="H367" s="205" t="str">
        <f>IFERROR(IF($H366+1&gt;'(backend scoring)'!$Q$335,"",$H366+1),"")</f>
        <v/>
      </c>
      <c r="I367" s="205" t="str">
        <f>_xlfn.XLOOKUP($H367,'(backend scoring)'!$S$2:$S$333,'(backend scoring)'!$A$2:$A$333,"")</f>
        <v/>
      </c>
      <c r="J367" s="205" t="str">
        <f>IFERROR(VLOOKUP($I367,'Institution Evaluation'!$A$55:$F$345,2,0),IFERROR(VLOOKUP($I367,'Privacy Analyst Evaluation'!$A$46:$F$120,2,0),""))</f>
        <v/>
      </c>
      <c r="K367" s="205" t="str">
        <f>IFERROR(VLOOKUP($I367,'Institution Evaluation'!$A$55:$F$345,3,0),IFERROR(VLOOKUP($I367,'Privacy Analyst Evaluation'!$A$46:$F$120,3,0),""))&amp;""</f>
        <v/>
      </c>
      <c r="L367" s="205" t="str">
        <f>IFERROR(VLOOKUP($I367,'Institution Evaluation'!$A$55:$F$345,4,0),IFERROR(VLOOKUP($I367,'Privacy Analyst Evaluation'!$A$46:$F$120,4,0),""))&amp;""</f>
        <v/>
      </c>
      <c r="M367" s="205" t="str">
        <f>IFERROR(VLOOKUP($I367,'Institution Evaluation'!$A$55:$F$345,6,0),IFERROR(VLOOKUP($I367,'Privacy Analyst Evaluation'!$A$46:$F$120,6,0),""))&amp;""</f>
        <v/>
      </c>
    </row>
    <row r="368" spans="1:338" x14ac:dyDescent="0.25">
      <c r="A368" s="205" t="str">
        <f>IFERROR(IF($A367+1&gt;'(backend scoring)'!$T$335,"",$A367+1),"")</f>
        <v/>
      </c>
      <c r="B368" s="205" t="str">
        <f>_xlfn.XLOOKUP($A368,'(backend scoring)'!$V$2:$V$333,'(backend scoring)'!$A$2:$A$333,"")</f>
        <v/>
      </c>
      <c r="C368" s="205" t="str">
        <f>IFERROR(VLOOKUP($B368,'Institution Evaluation'!$A$55:$F$345,2,0),IFERROR(VLOOKUP($B368,'Privacy Analyst Evaluation'!$A$46:$F$120,2,0),""))&amp;""</f>
        <v/>
      </c>
      <c r="D368" s="205" t="str">
        <f>IFERROR(VLOOKUP($B368,'Institution Evaluation'!$A$55:$F$345,3,0),IFERROR(VLOOKUP($B368,'Privacy Analyst Evaluation'!$A$46:$F$120,3,0),""))&amp;""</f>
        <v/>
      </c>
      <c r="E368" s="205" t="str">
        <f>IFERROR(VLOOKUP($B368,'Institution Evaluation'!$A$55:$F$345,4,0),IFERROR(VLOOKUP($B368,'Privacy Analyst Evaluation'!$A$46:$F$120,4,0),""))&amp;""</f>
        <v/>
      </c>
      <c r="F368" s="205" t="str">
        <f>IFERROR(VLOOKUP($B368,'Institution Evaluation'!$A$55:$F$345,6,0),IFERROR(VLOOKUP($B368,'Privacy Analyst Evaluation'!$A$46:$F$120,6,0),""))&amp;""</f>
        <v/>
      </c>
      <c r="G368" s="206"/>
      <c r="H368" s="205" t="str">
        <f>IFERROR(IF($H367+1&gt;'(backend scoring)'!$Q$335,"",$H367+1),"")</f>
        <v/>
      </c>
      <c r="I368" s="205" t="str">
        <f>_xlfn.XLOOKUP($H368,'(backend scoring)'!$S$2:$S$333,'(backend scoring)'!$A$2:$A$333,"")</f>
        <v/>
      </c>
      <c r="J368" s="205" t="str">
        <f>IFERROR(VLOOKUP($I368,'Institution Evaluation'!$A$55:$F$345,2,0),IFERROR(VLOOKUP($I368,'Privacy Analyst Evaluation'!$A$46:$F$120,2,0),""))</f>
        <v/>
      </c>
      <c r="K368" s="205" t="str">
        <f>IFERROR(VLOOKUP($I368,'Institution Evaluation'!$A$55:$F$345,3,0),IFERROR(VLOOKUP($I368,'Privacy Analyst Evaluation'!$A$46:$F$120,3,0),""))&amp;""</f>
        <v/>
      </c>
      <c r="L368" s="205" t="str">
        <f>IFERROR(VLOOKUP($I368,'Institution Evaluation'!$A$55:$F$345,4,0),IFERROR(VLOOKUP($I368,'Privacy Analyst Evaluation'!$A$46:$F$120,4,0),""))&amp;""</f>
        <v/>
      </c>
      <c r="M368" s="205" t="str">
        <f>IFERROR(VLOOKUP($I368,'Institution Evaluation'!$A$55:$F$345,6,0),IFERROR(VLOOKUP($I368,'Privacy Analyst Evaluation'!$A$46:$F$120,6,0),""))&amp;""</f>
        <v/>
      </c>
      <c r="N368" s="234" t="s">
        <v>36</v>
      </c>
    </row>
    <row r="369" spans="1:2" x14ac:dyDescent="0.3">
      <c r="A369" s="235" t="s">
        <v>462</v>
      </c>
      <c r="B369" s="235" t="s">
        <v>462</v>
      </c>
    </row>
    <row r="370" spans="1:2" hidden="1" x14ac:dyDescent="0.3">
      <c r="A370"/>
      <c r="B370"/>
    </row>
    <row r="371" spans="1:2" hidden="1" x14ac:dyDescent="0.3">
      <c r="A371"/>
      <c r="B371"/>
    </row>
    <row r="372" spans="1:2" hidden="1" x14ac:dyDescent="0.3">
      <c r="A372"/>
      <c r="B372"/>
    </row>
    <row r="373" spans="1:2" hidden="1" x14ac:dyDescent="0.3">
      <c r="A373"/>
      <c r="B373"/>
    </row>
    <row r="374" spans="1:2" hidden="1" x14ac:dyDescent="0.3">
      <c r="A374"/>
      <c r="B374"/>
    </row>
    <row r="375" spans="1:2" hidden="1" x14ac:dyDescent="0.3">
      <c r="A375"/>
      <c r="B375"/>
    </row>
    <row r="376" spans="1:2" hidden="1" x14ac:dyDescent="0.3">
      <c r="A376"/>
      <c r="B376"/>
    </row>
    <row r="377" spans="1:2" hidden="1" x14ac:dyDescent="0.3">
      <c r="A377"/>
      <c r="B377"/>
    </row>
    <row r="378" spans="1:2" hidden="1" x14ac:dyDescent="0.3">
      <c r="A378"/>
      <c r="B378"/>
    </row>
    <row r="379" spans="1:2" hidden="1" x14ac:dyDescent="0.3">
      <c r="A379"/>
      <c r="B379"/>
    </row>
    <row r="380" spans="1:2" hidden="1" x14ac:dyDescent="0.3">
      <c r="A380"/>
      <c r="B380"/>
    </row>
    <row r="381" spans="1:2" hidden="1" x14ac:dyDescent="0.3">
      <c r="A381"/>
      <c r="B381"/>
    </row>
    <row r="382" spans="1:2" hidden="1" x14ac:dyDescent="0.3">
      <c r="A382"/>
      <c r="B382"/>
    </row>
    <row r="383" spans="1:2" hidden="1" x14ac:dyDescent="0.3">
      <c r="A383"/>
      <c r="B383"/>
    </row>
    <row r="384" spans="1:2" hidden="1" x14ac:dyDescent="0.3">
      <c r="A384"/>
      <c r="B384"/>
    </row>
    <row r="385" spans="1:2" hidden="1" x14ac:dyDescent="0.3">
      <c r="A385"/>
      <c r="B385"/>
    </row>
    <row r="386" spans="1:2" hidden="1" x14ac:dyDescent="0.3">
      <c r="A386"/>
      <c r="B386"/>
    </row>
    <row r="387" spans="1:2" hidden="1" x14ac:dyDescent="0.3">
      <c r="A387"/>
      <c r="B387"/>
    </row>
    <row r="388" spans="1:2" hidden="1" x14ac:dyDescent="0.3">
      <c r="A388"/>
      <c r="B388"/>
    </row>
    <row r="389" spans="1:2" hidden="1" x14ac:dyDescent="0.3">
      <c r="A389"/>
      <c r="B389"/>
    </row>
    <row r="390" spans="1:2" hidden="1" x14ac:dyDescent="0.3">
      <c r="A390"/>
      <c r="B390"/>
    </row>
    <row r="391" spans="1:2" hidden="1" x14ac:dyDescent="0.3">
      <c r="A391"/>
      <c r="B391"/>
    </row>
    <row r="392" spans="1:2" hidden="1" x14ac:dyDescent="0.3">
      <c r="A392"/>
      <c r="B392"/>
    </row>
    <row r="393" spans="1:2" hidden="1" x14ac:dyDescent="0.3">
      <c r="A393"/>
      <c r="B393"/>
    </row>
    <row r="394" spans="1:2" hidden="1" x14ac:dyDescent="0.3">
      <c r="A394"/>
      <c r="B394"/>
    </row>
    <row r="395" spans="1:2" hidden="1" x14ac:dyDescent="0.3">
      <c r="A395"/>
      <c r="B395"/>
    </row>
    <row r="396" spans="1:2" hidden="1" x14ac:dyDescent="0.3">
      <c r="A396"/>
      <c r="B396"/>
    </row>
    <row r="397" spans="1:2" hidden="1" x14ac:dyDescent="0.3">
      <c r="A397"/>
      <c r="B397"/>
    </row>
    <row r="398" spans="1:2" hidden="1" x14ac:dyDescent="0.3">
      <c r="A398"/>
      <c r="B398"/>
    </row>
    <row r="399" spans="1:2" hidden="1" x14ac:dyDescent="0.3">
      <c r="A399"/>
      <c r="B399"/>
    </row>
    <row r="400" spans="1:2" hidden="1" x14ac:dyDescent="0.3">
      <c r="A400"/>
      <c r="B400"/>
    </row>
    <row r="401" spans="1:2" hidden="1" x14ac:dyDescent="0.3">
      <c r="A401"/>
      <c r="B401"/>
    </row>
    <row r="402" spans="1:2" hidden="1" x14ac:dyDescent="0.3">
      <c r="A402"/>
      <c r="B402"/>
    </row>
    <row r="403" spans="1:2" hidden="1" x14ac:dyDescent="0.3">
      <c r="A403"/>
      <c r="B403"/>
    </row>
    <row r="404" spans="1:2" hidden="1" x14ac:dyDescent="0.3">
      <c r="A404"/>
      <c r="B404"/>
    </row>
    <row r="405" spans="1:2" hidden="1" x14ac:dyDescent="0.3">
      <c r="A405"/>
      <c r="B405"/>
    </row>
    <row r="406" spans="1:2" hidden="1" x14ac:dyDescent="0.3">
      <c r="A406"/>
      <c r="B406"/>
    </row>
    <row r="407" spans="1:2" hidden="1" x14ac:dyDescent="0.3">
      <c r="A407"/>
      <c r="B407"/>
    </row>
    <row r="408" spans="1:2" hidden="1" x14ac:dyDescent="0.3">
      <c r="A408"/>
      <c r="B408"/>
    </row>
    <row r="409" spans="1:2" hidden="1" x14ac:dyDescent="0.3">
      <c r="A409"/>
      <c r="B409"/>
    </row>
    <row r="410" spans="1:2" hidden="1" x14ac:dyDescent="0.3">
      <c r="A410"/>
      <c r="B410"/>
    </row>
    <row r="411" spans="1:2" hidden="1" x14ac:dyDescent="0.3">
      <c r="A411"/>
      <c r="B411"/>
    </row>
    <row r="412" spans="1:2" hidden="1" x14ac:dyDescent="0.3">
      <c r="A412"/>
      <c r="B412"/>
    </row>
    <row r="413" spans="1:2" hidden="1" x14ac:dyDescent="0.3">
      <c r="A413"/>
      <c r="B413"/>
    </row>
    <row r="414" spans="1:2" hidden="1" x14ac:dyDescent="0.3">
      <c r="A414"/>
      <c r="B414"/>
    </row>
    <row r="415" spans="1:2" hidden="1" x14ac:dyDescent="0.3">
      <c r="A415"/>
      <c r="B415"/>
    </row>
    <row r="416" spans="1:2" hidden="1" x14ac:dyDescent="0.3">
      <c r="A416"/>
      <c r="B416"/>
    </row>
    <row r="417" spans="1:2" hidden="1" x14ac:dyDescent="0.3">
      <c r="A417"/>
      <c r="B417"/>
    </row>
    <row r="418" spans="1:2" hidden="1" x14ac:dyDescent="0.3">
      <c r="A418"/>
      <c r="B418"/>
    </row>
    <row r="419" spans="1:2" hidden="1" x14ac:dyDescent="0.3">
      <c r="A419"/>
      <c r="B419"/>
    </row>
    <row r="420" spans="1:2" hidden="1" x14ac:dyDescent="0.3">
      <c r="A420"/>
      <c r="B420"/>
    </row>
    <row r="421" spans="1:2" hidden="1" x14ac:dyDescent="0.3">
      <c r="A421"/>
      <c r="B421"/>
    </row>
    <row r="422" spans="1:2" hidden="1" x14ac:dyDescent="0.3">
      <c r="A422"/>
      <c r="B422"/>
    </row>
    <row r="423" spans="1:2" hidden="1" x14ac:dyDescent="0.3">
      <c r="A423"/>
      <c r="B423"/>
    </row>
    <row r="424" spans="1:2" hidden="1" x14ac:dyDescent="0.3">
      <c r="A424"/>
      <c r="B424"/>
    </row>
    <row r="425" spans="1:2" hidden="1" x14ac:dyDescent="0.3">
      <c r="A425"/>
      <c r="B425"/>
    </row>
    <row r="426" spans="1:2" hidden="1" x14ac:dyDescent="0.3">
      <c r="A426"/>
      <c r="B426"/>
    </row>
    <row r="427" spans="1:2" hidden="1" x14ac:dyDescent="0.3">
      <c r="A427"/>
      <c r="B427"/>
    </row>
    <row r="428" spans="1:2" hidden="1" x14ac:dyDescent="0.3">
      <c r="A428"/>
      <c r="B428"/>
    </row>
    <row r="429" spans="1:2" hidden="1" x14ac:dyDescent="0.3">
      <c r="A429"/>
      <c r="B429"/>
    </row>
    <row r="430" spans="1:2" hidden="1" x14ac:dyDescent="0.3">
      <c r="A430"/>
      <c r="B430"/>
    </row>
    <row r="431" spans="1:2" hidden="1" x14ac:dyDescent="0.3">
      <c r="A431"/>
      <c r="B431"/>
    </row>
    <row r="432" spans="1:2" hidden="1" x14ac:dyDescent="0.3">
      <c r="A432"/>
      <c r="B432"/>
    </row>
    <row r="433" spans="1:2" hidden="1" x14ac:dyDescent="0.3">
      <c r="A433"/>
      <c r="B433"/>
    </row>
    <row r="434" spans="1:2" hidden="1" x14ac:dyDescent="0.3">
      <c r="A434"/>
      <c r="B434"/>
    </row>
    <row r="435" spans="1:2" hidden="1" x14ac:dyDescent="0.3">
      <c r="A435"/>
      <c r="B435"/>
    </row>
    <row r="436" spans="1:2" hidden="1" x14ac:dyDescent="0.3">
      <c r="A436"/>
      <c r="B436"/>
    </row>
    <row r="437" spans="1:2" hidden="1" x14ac:dyDescent="0.3">
      <c r="A437"/>
      <c r="B437"/>
    </row>
    <row r="438" spans="1:2" hidden="1" x14ac:dyDescent="0.3">
      <c r="A438"/>
      <c r="B438"/>
    </row>
    <row r="439" spans="1:2" hidden="1" x14ac:dyDescent="0.3">
      <c r="A439"/>
      <c r="B439"/>
    </row>
    <row r="440" spans="1:2" hidden="1" x14ac:dyDescent="0.3">
      <c r="A440"/>
      <c r="B440"/>
    </row>
    <row r="441" spans="1:2" hidden="1" x14ac:dyDescent="0.3">
      <c r="A441"/>
      <c r="B441"/>
    </row>
    <row r="442" spans="1:2" hidden="1" x14ac:dyDescent="0.3">
      <c r="A442"/>
      <c r="B442"/>
    </row>
    <row r="443" spans="1:2" hidden="1" x14ac:dyDescent="0.3">
      <c r="A443"/>
      <c r="B443"/>
    </row>
    <row r="444" spans="1:2" hidden="1" x14ac:dyDescent="0.3">
      <c r="A444"/>
      <c r="B444"/>
    </row>
    <row r="445" spans="1:2" hidden="1" x14ac:dyDescent="0.3">
      <c r="A445"/>
      <c r="B445"/>
    </row>
    <row r="446" spans="1:2" hidden="1" x14ac:dyDescent="0.3">
      <c r="A446"/>
      <c r="B446"/>
    </row>
    <row r="447" spans="1:2" hidden="1" x14ac:dyDescent="0.3">
      <c r="A447"/>
      <c r="B447"/>
    </row>
    <row r="448" spans="1:2" hidden="1" x14ac:dyDescent="0.3">
      <c r="A448"/>
      <c r="B448"/>
    </row>
    <row r="449" spans="1:2" hidden="1" x14ac:dyDescent="0.3">
      <c r="A449"/>
      <c r="B449"/>
    </row>
    <row r="450" spans="1:2" hidden="1" x14ac:dyDescent="0.3">
      <c r="A450"/>
      <c r="B450"/>
    </row>
    <row r="451" spans="1:2" hidden="1" x14ac:dyDescent="0.3">
      <c r="A451"/>
      <c r="B451"/>
    </row>
    <row r="452" spans="1:2" hidden="1" x14ac:dyDescent="0.3">
      <c r="A452"/>
      <c r="B452"/>
    </row>
    <row r="453" spans="1:2" hidden="1" x14ac:dyDescent="0.3">
      <c r="A453"/>
      <c r="B453"/>
    </row>
    <row r="454" spans="1:2" hidden="1" x14ac:dyDescent="0.3">
      <c r="A454"/>
      <c r="B454"/>
    </row>
    <row r="455" spans="1:2" hidden="1" x14ac:dyDescent="0.3">
      <c r="A455"/>
      <c r="B455"/>
    </row>
    <row r="456" spans="1:2" hidden="1" x14ac:dyDescent="0.3">
      <c r="A456"/>
      <c r="B456"/>
    </row>
    <row r="457" spans="1:2" hidden="1" x14ac:dyDescent="0.3">
      <c r="A457"/>
      <c r="B457"/>
    </row>
    <row r="458" spans="1:2" hidden="1" x14ac:dyDescent="0.3">
      <c r="A458"/>
      <c r="B458"/>
    </row>
    <row r="459" spans="1:2" hidden="1" x14ac:dyDescent="0.3">
      <c r="A459"/>
      <c r="B459"/>
    </row>
    <row r="460" spans="1:2" hidden="1" x14ac:dyDescent="0.3">
      <c r="A460"/>
      <c r="B460"/>
    </row>
    <row r="461" spans="1:2" hidden="1" x14ac:dyDescent="0.3">
      <c r="A461"/>
      <c r="B461"/>
    </row>
    <row r="462" spans="1:2" hidden="1" x14ac:dyDescent="0.3">
      <c r="A462"/>
      <c r="B462"/>
    </row>
    <row r="463" spans="1:2" hidden="1" x14ac:dyDescent="0.3">
      <c r="A463"/>
      <c r="B463"/>
    </row>
    <row r="464" spans="1:2" hidden="1" x14ac:dyDescent="0.3">
      <c r="A464"/>
      <c r="B464"/>
    </row>
    <row r="465" spans="1:2" hidden="1" x14ac:dyDescent="0.3">
      <c r="A465"/>
      <c r="B465"/>
    </row>
    <row r="466" spans="1:2" hidden="1" x14ac:dyDescent="0.3">
      <c r="A466"/>
      <c r="B466"/>
    </row>
    <row r="467" spans="1:2" hidden="1" x14ac:dyDescent="0.3">
      <c r="A467"/>
      <c r="B467"/>
    </row>
    <row r="468" spans="1:2" hidden="1" x14ac:dyDescent="0.3">
      <c r="A468"/>
      <c r="B468"/>
    </row>
    <row r="469" spans="1:2" hidden="1" x14ac:dyDescent="0.3">
      <c r="A469"/>
      <c r="B469"/>
    </row>
    <row r="470" spans="1:2" hidden="1" x14ac:dyDescent="0.3">
      <c r="A470"/>
      <c r="B470"/>
    </row>
    <row r="471" spans="1:2" hidden="1" x14ac:dyDescent="0.3">
      <c r="A471"/>
      <c r="B471"/>
    </row>
    <row r="472" spans="1:2" hidden="1" x14ac:dyDescent="0.3">
      <c r="A472"/>
      <c r="B472"/>
    </row>
    <row r="473" spans="1:2" hidden="1" x14ac:dyDescent="0.3">
      <c r="A473"/>
      <c r="B473"/>
    </row>
    <row r="474" spans="1:2" hidden="1" x14ac:dyDescent="0.3">
      <c r="A474"/>
      <c r="B474"/>
    </row>
    <row r="475" spans="1:2" hidden="1" x14ac:dyDescent="0.3">
      <c r="A475"/>
      <c r="B475"/>
    </row>
    <row r="476" spans="1:2" hidden="1" x14ac:dyDescent="0.3">
      <c r="A476"/>
      <c r="B476"/>
    </row>
    <row r="477" spans="1:2" hidden="1" x14ac:dyDescent="0.3">
      <c r="A477"/>
      <c r="B477"/>
    </row>
    <row r="478" spans="1:2" hidden="1" x14ac:dyDescent="0.3">
      <c r="A478"/>
      <c r="B478"/>
    </row>
    <row r="479" spans="1:2" hidden="1" x14ac:dyDescent="0.3">
      <c r="A479"/>
      <c r="B479"/>
    </row>
    <row r="480" spans="1:2" hidden="1" x14ac:dyDescent="0.3">
      <c r="A480"/>
      <c r="B480"/>
    </row>
    <row r="481" spans="1:2" hidden="1" x14ac:dyDescent="0.3">
      <c r="A481"/>
      <c r="B481"/>
    </row>
    <row r="482" spans="1:2" hidden="1" x14ac:dyDescent="0.3">
      <c r="A482"/>
      <c r="B482"/>
    </row>
    <row r="483" spans="1:2" hidden="1" x14ac:dyDescent="0.3">
      <c r="A483"/>
      <c r="B483"/>
    </row>
    <row r="484" spans="1:2" hidden="1" x14ac:dyDescent="0.3">
      <c r="A484"/>
      <c r="B484"/>
    </row>
    <row r="485" spans="1:2" hidden="1" x14ac:dyDescent="0.3">
      <c r="A485"/>
      <c r="B485"/>
    </row>
    <row r="486" spans="1:2" hidden="1" x14ac:dyDescent="0.3">
      <c r="A486"/>
      <c r="B486"/>
    </row>
    <row r="487" spans="1:2" hidden="1" x14ac:dyDescent="0.3">
      <c r="A487"/>
      <c r="B487"/>
    </row>
    <row r="488" spans="1:2" hidden="1" x14ac:dyDescent="0.3">
      <c r="A488"/>
      <c r="B488"/>
    </row>
    <row r="489" spans="1:2" hidden="1" x14ac:dyDescent="0.3">
      <c r="A489"/>
      <c r="B489"/>
    </row>
    <row r="490" spans="1:2" hidden="1" x14ac:dyDescent="0.3">
      <c r="A490"/>
      <c r="B490"/>
    </row>
    <row r="491" spans="1:2" hidden="1" x14ac:dyDescent="0.3">
      <c r="A491"/>
      <c r="B491"/>
    </row>
    <row r="492" spans="1:2" hidden="1" x14ac:dyDescent="0.3">
      <c r="A492"/>
      <c r="B492"/>
    </row>
    <row r="493" spans="1:2" hidden="1" x14ac:dyDescent="0.3">
      <c r="A493"/>
      <c r="B493"/>
    </row>
    <row r="494" spans="1:2" hidden="1" x14ac:dyDescent="0.3">
      <c r="A494"/>
      <c r="B494"/>
    </row>
    <row r="495" spans="1:2" hidden="1" x14ac:dyDescent="0.3">
      <c r="A495"/>
      <c r="B495"/>
    </row>
    <row r="496" spans="1:2" hidden="1" x14ac:dyDescent="0.3">
      <c r="A496"/>
      <c r="B496"/>
    </row>
    <row r="497" spans="1:2" hidden="1" x14ac:dyDescent="0.3">
      <c r="A497"/>
      <c r="B497"/>
    </row>
    <row r="498" spans="1:2" hidden="1" x14ac:dyDescent="0.3">
      <c r="A498"/>
      <c r="B498"/>
    </row>
    <row r="499" spans="1:2" hidden="1" x14ac:dyDescent="0.3">
      <c r="A499"/>
      <c r="B499"/>
    </row>
    <row r="500" spans="1:2" hidden="1" x14ac:dyDescent="0.3">
      <c r="A500"/>
      <c r="B500"/>
    </row>
    <row r="501" spans="1:2" hidden="1" x14ac:dyDescent="0.3">
      <c r="A501"/>
      <c r="B501"/>
    </row>
    <row r="502" spans="1:2" hidden="1" x14ac:dyDescent="0.3">
      <c r="A502"/>
      <c r="B502"/>
    </row>
    <row r="503" spans="1:2" hidden="1" x14ac:dyDescent="0.3">
      <c r="A503"/>
      <c r="B503"/>
    </row>
    <row r="504" spans="1:2" hidden="1" x14ac:dyDescent="0.3">
      <c r="A504"/>
      <c r="B504"/>
    </row>
    <row r="505" spans="1:2" hidden="1" x14ac:dyDescent="0.3">
      <c r="A505"/>
      <c r="B505"/>
    </row>
    <row r="506" spans="1:2" hidden="1" x14ac:dyDescent="0.3">
      <c r="A506"/>
      <c r="B506"/>
    </row>
    <row r="507" spans="1:2" hidden="1" x14ac:dyDescent="0.3">
      <c r="A507"/>
      <c r="B507"/>
    </row>
    <row r="508" spans="1:2" hidden="1" x14ac:dyDescent="0.3">
      <c r="A508"/>
      <c r="B508"/>
    </row>
    <row r="509" spans="1:2" hidden="1" x14ac:dyDescent="0.3">
      <c r="A509"/>
      <c r="B509"/>
    </row>
    <row r="510" spans="1:2" hidden="1" x14ac:dyDescent="0.3">
      <c r="A510"/>
      <c r="B510"/>
    </row>
    <row r="511" spans="1:2" hidden="1" x14ac:dyDescent="0.3">
      <c r="A511"/>
      <c r="B511"/>
    </row>
    <row r="512" spans="1:2" hidden="1" x14ac:dyDescent="0.3">
      <c r="A512"/>
      <c r="B512"/>
    </row>
    <row r="513" spans="1:2" hidden="1" x14ac:dyDescent="0.3">
      <c r="A513"/>
      <c r="B513"/>
    </row>
    <row r="514" spans="1:2" hidden="1" x14ac:dyDescent="0.3">
      <c r="A514"/>
      <c r="B514"/>
    </row>
    <row r="515" spans="1:2" hidden="1" x14ac:dyDescent="0.3">
      <c r="A515"/>
      <c r="B515"/>
    </row>
    <row r="516" spans="1:2" hidden="1" x14ac:dyDescent="0.3">
      <c r="A516"/>
      <c r="B516"/>
    </row>
    <row r="517" spans="1:2" hidden="1" x14ac:dyDescent="0.3">
      <c r="A517"/>
      <c r="B517"/>
    </row>
    <row r="518" spans="1:2" hidden="1" x14ac:dyDescent="0.3">
      <c r="A518"/>
      <c r="B518"/>
    </row>
    <row r="519" spans="1:2" hidden="1" x14ac:dyDescent="0.3">
      <c r="A519"/>
      <c r="B519"/>
    </row>
    <row r="520" spans="1:2" hidden="1" x14ac:dyDescent="0.3">
      <c r="A520"/>
      <c r="B520"/>
    </row>
    <row r="521" spans="1:2" hidden="1" x14ac:dyDescent="0.3">
      <c r="A521"/>
      <c r="B521"/>
    </row>
    <row r="522" spans="1:2" hidden="1" x14ac:dyDescent="0.3">
      <c r="A522"/>
      <c r="B522"/>
    </row>
    <row r="523" spans="1:2" hidden="1" x14ac:dyDescent="0.3">
      <c r="A523"/>
      <c r="B523"/>
    </row>
    <row r="524" spans="1:2" hidden="1" x14ac:dyDescent="0.3">
      <c r="A524"/>
      <c r="B524"/>
    </row>
    <row r="525" spans="1:2" hidden="1" x14ac:dyDescent="0.3">
      <c r="A525"/>
      <c r="B525"/>
    </row>
    <row r="526" spans="1:2" hidden="1" x14ac:dyDescent="0.3">
      <c r="A526"/>
      <c r="B526"/>
    </row>
    <row r="527" spans="1:2" hidden="1" x14ac:dyDescent="0.3">
      <c r="A527"/>
      <c r="B527"/>
    </row>
    <row r="528" spans="1:2" hidden="1" x14ac:dyDescent="0.3">
      <c r="A528"/>
      <c r="B528"/>
    </row>
    <row r="529" spans="1:2" hidden="1" x14ac:dyDescent="0.3">
      <c r="A529"/>
      <c r="B529"/>
    </row>
    <row r="530" spans="1:2" hidden="1" x14ac:dyDescent="0.3">
      <c r="A530"/>
      <c r="B530"/>
    </row>
    <row r="531" spans="1:2" hidden="1" x14ac:dyDescent="0.3">
      <c r="A531"/>
      <c r="B531"/>
    </row>
    <row r="532" spans="1:2" hidden="1" x14ac:dyDescent="0.3">
      <c r="A532"/>
      <c r="B532"/>
    </row>
    <row r="533" spans="1:2" hidden="1" x14ac:dyDescent="0.3">
      <c r="A533"/>
      <c r="B533"/>
    </row>
    <row r="534" spans="1:2" hidden="1" x14ac:dyDescent="0.3">
      <c r="A534"/>
      <c r="B534"/>
    </row>
    <row r="535" spans="1:2" hidden="1" x14ac:dyDescent="0.3">
      <c r="A535"/>
      <c r="B535"/>
    </row>
    <row r="536" spans="1:2" hidden="1" x14ac:dyDescent="0.3">
      <c r="A536"/>
      <c r="B536"/>
    </row>
    <row r="537" spans="1:2" hidden="1" x14ac:dyDescent="0.3">
      <c r="A537"/>
      <c r="B537"/>
    </row>
    <row r="538" spans="1:2" hidden="1" x14ac:dyDescent="0.3">
      <c r="A538"/>
      <c r="B538"/>
    </row>
    <row r="539" spans="1:2" hidden="1" x14ac:dyDescent="0.3">
      <c r="A539"/>
      <c r="B539"/>
    </row>
    <row r="540" spans="1:2" hidden="1" x14ac:dyDescent="0.3">
      <c r="A540"/>
      <c r="B540"/>
    </row>
    <row r="541" spans="1:2" hidden="1" x14ac:dyDescent="0.3">
      <c r="A541"/>
      <c r="B541"/>
    </row>
    <row r="542" spans="1:2" hidden="1" x14ac:dyDescent="0.3">
      <c r="A542"/>
      <c r="B542"/>
    </row>
    <row r="543" spans="1:2" hidden="1" x14ac:dyDescent="0.3">
      <c r="A543"/>
      <c r="B543"/>
    </row>
    <row r="544" spans="1:2" hidden="1" x14ac:dyDescent="0.3">
      <c r="A544"/>
      <c r="B544"/>
    </row>
    <row r="545" spans="1:2" hidden="1" x14ac:dyDescent="0.3">
      <c r="A545"/>
      <c r="B545"/>
    </row>
    <row r="546" spans="1:2" hidden="1" x14ac:dyDescent="0.3">
      <c r="A546"/>
      <c r="B546"/>
    </row>
    <row r="547" spans="1:2" hidden="1" x14ac:dyDescent="0.3">
      <c r="A547"/>
      <c r="B547"/>
    </row>
    <row r="548" spans="1:2" hidden="1" x14ac:dyDescent="0.3">
      <c r="A548"/>
      <c r="B548"/>
    </row>
    <row r="549" spans="1:2" hidden="1" x14ac:dyDescent="0.3">
      <c r="A549"/>
      <c r="B549"/>
    </row>
    <row r="550" spans="1:2" hidden="1" x14ac:dyDescent="0.3">
      <c r="A550"/>
      <c r="B550"/>
    </row>
    <row r="551" spans="1:2" hidden="1" x14ac:dyDescent="0.3">
      <c r="A551"/>
      <c r="B551"/>
    </row>
    <row r="552" spans="1:2" hidden="1" x14ac:dyDescent="0.3">
      <c r="A552"/>
      <c r="B552"/>
    </row>
    <row r="553" spans="1:2" hidden="1" x14ac:dyDescent="0.3">
      <c r="A553"/>
      <c r="B553"/>
    </row>
    <row r="554" spans="1:2" hidden="1" x14ac:dyDescent="0.3">
      <c r="A554"/>
      <c r="B554"/>
    </row>
    <row r="555" spans="1:2" hidden="1" x14ac:dyDescent="0.3">
      <c r="A555"/>
      <c r="B555"/>
    </row>
    <row r="556" spans="1:2" hidden="1" x14ac:dyDescent="0.3">
      <c r="A556"/>
      <c r="B556"/>
    </row>
    <row r="557" spans="1:2" hidden="1" x14ac:dyDescent="0.3">
      <c r="A557"/>
      <c r="B557"/>
    </row>
    <row r="558" spans="1:2" hidden="1" x14ac:dyDescent="0.3">
      <c r="A558"/>
      <c r="B558"/>
    </row>
    <row r="559" spans="1:2" hidden="1" x14ac:dyDescent="0.3">
      <c r="A559"/>
      <c r="B559"/>
    </row>
    <row r="560" spans="1:2" hidden="1" x14ac:dyDescent="0.3">
      <c r="A560"/>
      <c r="B560"/>
    </row>
    <row r="561" spans="1:2" hidden="1" x14ac:dyDescent="0.3">
      <c r="A561"/>
      <c r="B561"/>
    </row>
    <row r="562" spans="1:2" hidden="1" x14ac:dyDescent="0.3">
      <c r="A562"/>
      <c r="B562"/>
    </row>
    <row r="563" spans="1:2" hidden="1" x14ac:dyDescent="0.3">
      <c r="A563"/>
      <c r="B563"/>
    </row>
    <row r="564" spans="1:2" hidden="1" x14ac:dyDescent="0.3">
      <c r="A564"/>
      <c r="B564"/>
    </row>
    <row r="565" spans="1:2" hidden="1" x14ac:dyDescent="0.3">
      <c r="A565"/>
      <c r="B565"/>
    </row>
    <row r="566" spans="1:2" hidden="1" x14ac:dyDescent="0.3">
      <c r="A566"/>
      <c r="B566"/>
    </row>
    <row r="567" spans="1:2" hidden="1" x14ac:dyDescent="0.3">
      <c r="A567"/>
      <c r="B567"/>
    </row>
    <row r="568" spans="1:2" hidden="1" x14ac:dyDescent="0.3">
      <c r="A568"/>
      <c r="B568"/>
    </row>
    <row r="569" spans="1:2" hidden="1" x14ac:dyDescent="0.3">
      <c r="A569"/>
      <c r="B569"/>
    </row>
    <row r="570" spans="1:2" hidden="1" x14ac:dyDescent="0.3">
      <c r="A570"/>
      <c r="B570"/>
    </row>
    <row r="571" spans="1:2" hidden="1" x14ac:dyDescent="0.3">
      <c r="A571"/>
      <c r="B571"/>
    </row>
    <row r="572" spans="1:2" hidden="1" x14ac:dyDescent="0.3">
      <c r="A572"/>
      <c r="B572"/>
    </row>
    <row r="573" spans="1:2" hidden="1" x14ac:dyDescent="0.3">
      <c r="A573"/>
      <c r="B573"/>
    </row>
    <row r="574" spans="1:2" hidden="1" x14ac:dyDescent="0.3">
      <c r="A574"/>
      <c r="B574"/>
    </row>
    <row r="575" spans="1:2" hidden="1" x14ac:dyDescent="0.3">
      <c r="A575"/>
      <c r="B575"/>
    </row>
    <row r="576" spans="1:2" hidden="1" x14ac:dyDescent="0.3">
      <c r="A576"/>
      <c r="B576"/>
    </row>
    <row r="577" spans="1:2" hidden="1" x14ac:dyDescent="0.3">
      <c r="A577"/>
      <c r="B577"/>
    </row>
    <row r="578" spans="1:2" hidden="1" x14ac:dyDescent="0.3">
      <c r="A578"/>
      <c r="B578"/>
    </row>
    <row r="579" spans="1:2" hidden="1" x14ac:dyDescent="0.3">
      <c r="A579"/>
      <c r="B579"/>
    </row>
    <row r="580" spans="1:2" hidden="1" x14ac:dyDescent="0.3">
      <c r="A580"/>
      <c r="B580"/>
    </row>
    <row r="581" spans="1:2" hidden="1" x14ac:dyDescent="0.3">
      <c r="A581"/>
      <c r="B581"/>
    </row>
    <row r="582" spans="1:2" hidden="1" x14ac:dyDescent="0.3">
      <c r="A582"/>
      <c r="B582"/>
    </row>
    <row r="583" spans="1:2" hidden="1" x14ac:dyDescent="0.3">
      <c r="A583"/>
      <c r="B583"/>
    </row>
    <row r="584" spans="1:2" hidden="1" x14ac:dyDescent="0.3">
      <c r="A584"/>
      <c r="B584"/>
    </row>
    <row r="585" spans="1:2" hidden="1" x14ac:dyDescent="0.3">
      <c r="A585"/>
      <c r="B585"/>
    </row>
    <row r="586" spans="1:2" hidden="1" x14ac:dyDescent="0.3">
      <c r="A586"/>
      <c r="B586"/>
    </row>
    <row r="587" spans="1:2" hidden="1" x14ac:dyDescent="0.3">
      <c r="A587"/>
      <c r="B587"/>
    </row>
    <row r="588" spans="1:2" hidden="1" x14ac:dyDescent="0.3">
      <c r="A588"/>
      <c r="B588"/>
    </row>
    <row r="589" spans="1:2" hidden="1" x14ac:dyDescent="0.3">
      <c r="A589"/>
      <c r="B589"/>
    </row>
    <row r="590" spans="1:2" hidden="1" x14ac:dyDescent="0.3">
      <c r="A590"/>
      <c r="B590"/>
    </row>
    <row r="591" spans="1:2" hidden="1" x14ac:dyDescent="0.3">
      <c r="A591"/>
      <c r="B591"/>
    </row>
    <row r="592" spans="1:2" hidden="1" x14ac:dyDescent="0.3">
      <c r="A592"/>
      <c r="B592"/>
    </row>
    <row r="593" spans="1:2" hidden="1" x14ac:dyDescent="0.3">
      <c r="A593"/>
      <c r="B593"/>
    </row>
    <row r="594" spans="1:2" hidden="1" x14ac:dyDescent="0.3">
      <c r="A594"/>
      <c r="B594"/>
    </row>
    <row r="595" spans="1:2" hidden="1" x14ac:dyDescent="0.3">
      <c r="A595"/>
      <c r="B595"/>
    </row>
    <row r="596" spans="1:2" hidden="1" x14ac:dyDescent="0.3">
      <c r="A596"/>
      <c r="B596"/>
    </row>
    <row r="597" spans="1:2" hidden="1" x14ac:dyDescent="0.3">
      <c r="A597"/>
      <c r="B597"/>
    </row>
    <row r="598" spans="1:2" hidden="1" x14ac:dyDescent="0.3">
      <c r="A598"/>
      <c r="B598"/>
    </row>
    <row r="599" spans="1:2" hidden="1" x14ac:dyDescent="0.3">
      <c r="A599"/>
      <c r="B599"/>
    </row>
    <row r="600" spans="1:2" hidden="1" x14ac:dyDescent="0.3">
      <c r="A600"/>
      <c r="B600"/>
    </row>
    <row r="601" spans="1:2" hidden="1" x14ac:dyDescent="0.3">
      <c r="A601"/>
      <c r="B601"/>
    </row>
    <row r="602" spans="1:2" hidden="1" x14ac:dyDescent="0.3">
      <c r="A602"/>
      <c r="B602"/>
    </row>
    <row r="603" spans="1:2" hidden="1" x14ac:dyDescent="0.3">
      <c r="A603"/>
      <c r="B603"/>
    </row>
    <row r="604" spans="1:2" hidden="1" x14ac:dyDescent="0.3">
      <c r="A604"/>
      <c r="B604"/>
    </row>
    <row r="605" spans="1:2" hidden="1" x14ac:dyDescent="0.3">
      <c r="A605"/>
      <c r="B605"/>
    </row>
    <row r="606" spans="1:2" hidden="1" x14ac:dyDescent="0.3">
      <c r="A606"/>
      <c r="B606"/>
    </row>
    <row r="607" spans="1:2" hidden="1" x14ac:dyDescent="0.3">
      <c r="A607"/>
      <c r="B607"/>
    </row>
    <row r="608" spans="1:2" hidden="1" x14ac:dyDescent="0.3">
      <c r="A608"/>
      <c r="B608"/>
    </row>
    <row r="609" spans="1:2" hidden="1" x14ac:dyDescent="0.3">
      <c r="A609"/>
      <c r="B609"/>
    </row>
    <row r="610" spans="1:2" hidden="1" x14ac:dyDescent="0.3">
      <c r="A610"/>
      <c r="B610"/>
    </row>
    <row r="611" spans="1:2" hidden="1" x14ac:dyDescent="0.3">
      <c r="A611"/>
      <c r="B611"/>
    </row>
    <row r="612" spans="1:2" hidden="1" x14ac:dyDescent="0.3">
      <c r="A612"/>
      <c r="B612"/>
    </row>
    <row r="613" spans="1:2" hidden="1" x14ac:dyDescent="0.3">
      <c r="A613"/>
      <c r="B613"/>
    </row>
    <row r="614" spans="1:2" hidden="1" x14ac:dyDescent="0.3">
      <c r="A614"/>
      <c r="B614"/>
    </row>
    <row r="615" spans="1:2" hidden="1" x14ac:dyDescent="0.3">
      <c r="A615"/>
      <c r="B615"/>
    </row>
    <row r="616" spans="1:2" hidden="1" x14ac:dyDescent="0.3">
      <c r="A616"/>
      <c r="B616"/>
    </row>
    <row r="617" spans="1:2" hidden="1" x14ac:dyDescent="0.3">
      <c r="A617"/>
      <c r="B617"/>
    </row>
    <row r="618" spans="1:2" hidden="1" x14ac:dyDescent="0.3">
      <c r="A618"/>
      <c r="B618"/>
    </row>
    <row r="619" spans="1:2" hidden="1" x14ac:dyDescent="0.3">
      <c r="A619"/>
      <c r="B619"/>
    </row>
    <row r="620" spans="1:2" hidden="1" x14ac:dyDescent="0.3">
      <c r="A620"/>
      <c r="B620"/>
    </row>
    <row r="621" spans="1:2" hidden="1" x14ac:dyDescent="0.3">
      <c r="A621"/>
      <c r="B621"/>
    </row>
    <row r="622" spans="1:2" hidden="1" x14ac:dyDescent="0.3">
      <c r="A622"/>
      <c r="B622"/>
    </row>
    <row r="623" spans="1:2" hidden="1" x14ac:dyDescent="0.3">
      <c r="A623"/>
      <c r="B623"/>
    </row>
    <row r="624" spans="1:2" hidden="1" x14ac:dyDescent="0.3">
      <c r="A624"/>
      <c r="B624"/>
    </row>
    <row r="625" spans="1:2" hidden="1" x14ac:dyDescent="0.3">
      <c r="A625"/>
      <c r="B625"/>
    </row>
    <row r="626" spans="1:2" hidden="1" x14ac:dyDescent="0.3">
      <c r="A626"/>
      <c r="B626"/>
    </row>
    <row r="627" spans="1:2" hidden="1" x14ac:dyDescent="0.3">
      <c r="A627"/>
      <c r="B627"/>
    </row>
    <row r="628" spans="1:2" hidden="1" x14ac:dyDescent="0.3">
      <c r="A628"/>
      <c r="B628"/>
    </row>
    <row r="629" spans="1:2" hidden="1" x14ac:dyDescent="0.3">
      <c r="A629"/>
      <c r="B629"/>
    </row>
    <row r="630" spans="1:2" hidden="1" x14ac:dyDescent="0.3">
      <c r="A630"/>
      <c r="B630"/>
    </row>
    <row r="631" spans="1:2" hidden="1" x14ac:dyDescent="0.3">
      <c r="A631"/>
      <c r="B631"/>
    </row>
    <row r="632" spans="1:2" hidden="1" x14ac:dyDescent="0.3">
      <c r="A632"/>
      <c r="B632"/>
    </row>
    <row r="633" spans="1:2" hidden="1" x14ac:dyDescent="0.3">
      <c r="A633"/>
      <c r="B633"/>
    </row>
    <row r="634" spans="1:2" hidden="1" x14ac:dyDescent="0.3">
      <c r="A634"/>
      <c r="B634"/>
    </row>
    <row r="635" spans="1:2" hidden="1" x14ac:dyDescent="0.3">
      <c r="A635"/>
      <c r="B635"/>
    </row>
    <row r="636" spans="1:2" hidden="1" x14ac:dyDescent="0.3">
      <c r="A636"/>
      <c r="B636"/>
    </row>
    <row r="637" spans="1:2" hidden="1" x14ac:dyDescent="0.3">
      <c r="A637"/>
      <c r="B637"/>
    </row>
    <row r="638" spans="1:2" hidden="1" x14ac:dyDescent="0.3">
      <c r="A638"/>
      <c r="B638"/>
    </row>
    <row r="639" spans="1:2" hidden="1" x14ac:dyDescent="0.3">
      <c r="A639"/>
      <c r="B639"/>
    </row>
    <row r="640" spans="1:2" hidden="1" x14ac:dyDescent="0.3">
      <c r="A640"/>
      <c r="B640"/>
    </row>
    <row r="641" spans="1:2" hidden="1" x14ac:dyDescent="0.3">
      <c r="A641"/>
      <c r="B641"/>
    </row>
    <row r="642" spans="1:2" hidden="1" x14ac:dyDescent="0.3">
      <c r="A642"/>
      <c r="B642"/>
    </row>
    <row r="643" spans="1:2" hidden="1" x14ac:dyDescent="0.3">
      <c r="A643"/>
      <c r="B643"/>
    </row>
    <row r="644" spans="1:2" hidden="1" x14ac:dyDescent="0.3">
      <c r="A644"/>
      <c r="B644"/>
    </row>
    <row r="645" spans="1:2" hidden="1" x14ac:dyDescent="0.3">
      <c r="A645"/>
      <c r="B645"/>
    </row>
    <row r="646" spans="1:2" hidden="1" x14ac:dyDescent="0.3">
      <c r="A646"/>
      <c r="B646"/>
    </row>
    <row r="647" spans="1:2" hidden="1" x14ac:dyDescent="0.3">
      <c r="A647"/>
      <c r="B647"/>
    </row>
    <row r="648" spans="1:2" hidden="1" x14ac:dyDescent="0.3">
      <c r="A648"/>
      <c r="B648"/>
    </row>
    <row r="649" spans="1:2" hidden="1" x14ac:dyDescent="0.3">
      <c r="A649"/>
      <c r="B649"/>
    </row>
    <row r="650" spans="1:2" hidden="1" x14ac:dyDescent="0.3">
      <c r="A650"/>
      <c r="B650"/>
    </row>
    <row r="651" spans="1:2" hidden="1" x14ac:dyDescent="0.3">
      <c r="A651"/>
      <c r="B651"/>
    </row>
    <row r="652" spans="1:2" hidden="1" x14ac:dyDescent="0.3">
      <c r="A652"/>
      <c r="B652"/>
    </row>
    <row r="653" spans="1:2" hidden="1" x14ac:dyDescent="0.3">
      <c r="A653"/>
      <c r="B653"/>
    </row>
    <row r="654" spans="1:2" hidden="1" x14ac:dyDescent="0.3">
      <c r="A654"/>
      <c r="B654"/>
    </row>
    <row r="655" spans="1:2" hidden="1" x14ac:dyDescent="0.3">
      <c r="A655"/>
      <c r="B655"/>
    </row>
    <row r="656" spans="1:2" hidden="1" x14ac:dyDescent="0.3">
      <c r="A656"/>
      <c r="B656"/>
    </row>
    <row r="657" spans="1:2" hidden="1" x14ac:dyDescent="0.3">
      <c r="A657"/>
      <c r="B657"/>
    </row>
    <row r="658" spans="1:2" hidden="1" x14ac:dyDescent="0.3">
      <c r="A658"/>
      <c r="B658"/>
    </row>
    <row r="659" spans="1:2" hidden="1" x14ac:dyDescent="0.3">
      <c r="A659"/>
      <c r="B659"/>
    </row>
    <row r="660" spans="1:2" hidden="1" x14ac:dyDescent="0.3">
      <c r="A660"/>
      <c r="B660"/>
    </row>
    <row r="661" spans="1:2" hidden="1" x14ac:dyDescent="0.3">
      <c r="A661"/>
      <c r="B661"/>
    </row>
    <row r="662" spans="1:2" hidden="1" x14ac:dyDescent="0.3">
      <c r="A662"/>
      <c r="B662"/>
    </row>
    <row r="663" spans="1:2" hidden="1" x14ac:dyDescent="0.3">
      <c r="A663"/>
      <c r="B663"/>
    </row>
    <row r="664" spans="1:2" hidden="1" x14ac:dyDescent="0.3">
      <c r="A664"/>
      <c r="B664"/>
    </row>
    <row r="665" spans="1:2" hidden="1" x14ac:dyDescent="0.3">
      <c r="A665"/>
      <c r="B665"/>
    </row>
    <row r="666" spans="1:2" hidden="1" x14ac:dyDescent="0.3">
      <c r="A666"/>
      <c r="B666"/>
    </row>
    <row r="667" spans="1:2" hidden="1" x14ac:dyDescent="0.3">
      <c r="A667"/>
      <c r="B667"/>
    </row>
    <row r="668" spans="1:2" hidden="1" x14ac:dyDescent="0.3">
      <c r="A668"/>
      <c r="B668"/>
    </row>
    <row r="669" spans="1:2" hidden="1" x14ac:dyDescent="0.3">
      <c r="A669"/>
      <c r="B669"/>
    </row>
    <row r="670" spans="1:2" hidden="1" x14ac:dyDescent="0.3">
      <c r="A670"/>
      <c r="B670"/>
    </row>
    <row r="671" spans="1:2" hidden="1" x14ac:dyDescent="0.3">
      <c r="A671"/>
      <c r="B671"/>
    </row>
    <row r="672" spans="1:2" hidden="1" x14ac:dyDescent="0.3">
      <c r="A672"/>
      <c r="B672"/>
    </row>
    <row r="673" spans="1:2" hidden="1" x14ac:dyDescent="0.3">
      <c r="A673"/>
      <c r="B673"/>
    </row>
    <row r="674" spans="1:2" hidden="1" x14ac:dyDescent="0.3">
      <c r="A674"/>
      <c r="B674"/>
    </row>
    <row r="675" spans="1:2" hidden="1" x14ac:dyDescent="0.3">
      <c r="A675"/>
      <c r="B675"/>
    </row>
    <row r="676" spans="1:2" hidden="1" x14ac:dyDescent="0.3">
      <c r="A676"/>
      <c r="B676"/>
    </row>
    <row r="677" spans="1:2" hidden="1" x14ac:dyDescent="0.3">
      <c r="A677"/>
      <c r="B677"/>
    </row>
    <row r="678" spans="1:2" hidden="1" x14ac:dyDescent="0.3">
      <c r="A678"/>
      <c r="B678"/>
    </row>
    <row r="679" spans="1:2" hidden="1" x14ac:dyDescent="0.3">
      <c r="A679"/>
      <c r="B679"/>
    </row>
    <row r="680" spans="1:2" hidden="1" x14ac:dyDescent="0.3">
      <c r="A680"/>
      <c r="B680"/>
    </row>
    <row r="681" spans="1:2" hidden="1" x14ac:dyDescent="0.3">
      <c r="A681"/>
      <c r="B681"/>
    </row>
    <row r="682" spans="1:2" hidden="1" x14ac:dyDescent="0.3">
      <c r="A682"/>
      <c r="B682"/>
    </row>
    <row r="683" spans="1:2" hidden="1" x14ac:dyDescent="0.3">
      <c r="A683"/>
      <c r="B683"/>
    </row>
    <row r="684" spans="1:2" hidden="1" x14ac:dyDescent="0.3">
      <c r="A684"/>
      <c r="B684"/>
    </row>
    <row r="685" spans="1:2" hidden="1" x14ac:dyDescent="0.3">
      <c r="A685"/>
      <c r="B685"/>
    </row>
    <row r="686" spans="1:2" hidden="1" x14ac:dyDescent="0.3">
      <c r="A686"/>
      <c r="B686"/>
    </row>
    <row r="687" spans="1:2" hidden="1" x14ac:dyDescent="0.3">
      <c r="A687"/>
      <c r="B687"/>
    </row>
    <row r="688" spans="1:2" hidden="1" x14ac:dyDescent="0.3">
      <c r="A688"/>
      <c r="B688"/>
    </row>
    <row r="689" spans="1:2" hidden="1" x14ac:dyDescent="0.3">
      <c r="A689"/>
      <c r="B689"/>
    </row>
    <row r="690" spans="1:2" hidden="1" x14ac:dyDescent="0.3">
      <c r="A690"/>
      <c r="B690"/>
    </row>
    <row r="691" spans="1:2" hidden="1" x14ac:dyDescent="0.3">
      <c r="A691"/>
      <c r="B691"/>
    </row>
    <row r="692" spans="1:2" hidden="1" x14ac:dyDescent="0.3">
      <c r="A692"/>
      <c r="B692"/>
    </row>
    <row r="693" spans="1:2" hidden="1" x14ac:dyDescent="0.3">
      <c r="A693"/>
      <c r="B693"/>
    </row>
    <row r="694" spans="1:2" hidden="1" x14ac:dyDescent="0.3">
      <c r="A694"/>
      <c r="B694"/>
    </row>
    <row r="695" spans="1:2" hidden="1" x14ac:dyDescent="0.3">
      <c r="A695"/>
      <c r="B695"/>
    </row>
    <row r="696" spans="1:2" x14ac:dyDescent="0.3"/>
  </sheetData>
  <conditionalFormatting sqref="F19:F20">
    <cfRule type="dataBar" priority="1">
      <dataBar>
        <cfvo type="num" val="0"/>
        <cfvo type="num" val="1"/>
        <color rgb="FFD0DAF0"/>
      </dataBar>
      <extLst>
        <ext xmlns:x14="http://schemas.microsoft.com/office/spreadsheetml/2009/9/main" uri="{B025F937-C7B1-47D3-B67F-A62EFF666E3E}">
          <x14:id>{4373793E-8EB6-4577-AEBB-F12A280FDC0C}</x14:id>
        </ext>
      </extLst>
    </cfRule>
  </conditionalFormatting>
  <dataValidations count="1">
    <dataValidation allowBlank="1" showInputMessage="1" showErrorMessage="1" prompt="Changes cannot be made in this sheet. Please make changes in the appropriate &quot;Evaluation&quot; tab." sqref="F18:F1048576 N1:XFD1048576 H23:M1048576 A3:A1048576 D16:E1048576 D1:F8 B1:C1048576 A1 H1:M8" xr:uid="{36BF213B-03D0-4A95-8EB1-10E728187E1D}"/>
  </dataValidations>
  <hyperlinks>
    <hyperlink ref="A8" r:id="rId1" xr:uid="{F73DD09B-D0E9-4385-8CEE-B15F56B571D1}"/>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373793E-8EB6-4577-AEBB-F12A280FDC0C}">
            <x14:dataBar minLength="0" maxLength="100" gradient="0" direction="leftToRight" axisPosition="none">
              <x14:cfvo type="num">
                <xm:f>0</xm:f>
              </x14:cfvo>
              <x14:cfvo type="num">
                <xm:f>1</xm:f>
              </x14:cfvo>
              <x14:negativeFillColor rgb="FFFF0000"/>
            </x14:dataBar>
          </x14:cfRule>
          <xm:sqref>F19:F20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AE711-DCEB-46E4-B77C-742263AC90F3}">
  <sheetPr>
    <tabColor rgb="FFE0B233"/>
  </sheetPr>
  <dimension ref="A1:N265"/>
  <sheetViews>
    <sheetView showGridLines="0" showZeros="0" topLeftCell="A137" zoomScale="80" zoomScaleNormal="80" workbookViewId="0">
      <selection activeCell="A139" sqref="A139"/>
    </sheetView>
  </sheetViews>
  <sheetFormatPr defaultColWidth="0" defaultRowHeight="0" customHeight="1" zeroHeight="1" x14ac:dyDescent="0.3"/>
  <cols>
    <col min="1" max="1" width="18.59765625" style="55" customWidth="1"/>
    <col min="2" max="2" width="41.3984375" style="55" customWidth="1"/>
    <col min="3" max="4" width="19.59765625" style="55" customWidth="1"/>
    <col min="5" max="5" width="25.1328125" style="55" customWidth="1"/>
    <col min="6" max="9" width="19.59765625" style="55" customWidth="1"/>
    <col min="10" max="10" width="18.59765625" style="55" bestFit="1" customWidth="1"/>
    <col min="11" max="11" width="15.59765625" style="55" bestFit="1" customWidth="1"/>
    <col min="12" max="12" width="8.46484375" style="55" customWidth="1"/>
    <col min="13" max="13" width="0" style="55" hidden="1" customWidth="1"/>
    <col min="14" max="16384" width="8.46484375" style="55" hidden="1"/>
  </cols>
  <sheetData>
    <row r="1" spans="1:10" ht="23.25" hidden="1" customHeight="1" x14ac:dyDescent="0.3">
      <c r="A1" s="55" t="s">
        <v>633</v>
      </c>
    </row>
    <row r="2" spans="1:10" s="174" customFormat="1" ht="36" customHeight="1" x14ac:dyDescent="0.3">
      <c r="A2" s="172" t="s">
        <v>644</v>
      </c>
      <c r="B2" s="172"/>
      <c r="C2" s="172"/>
      <c r="D2" s="172"/>
      <c r="E2" s="172"/>
      <c r="F2" s="172"/>
      <c r="G2" s="172"/>
      <c r="H2" s="172"/>
      <c r="I2" s="173" t="str">
        <f>'Auto Responses'!$A$36</f>
        <v>Version 4.1.5</v>
      </c>
      <c r="J2" s="173"/>
    </row>
    <row r="3" spans="1:10" ht="21" customHeight="1" x14ac:dyDescent="0.3">
      <c r="A3" s="98"/>
      <c r="B3" s="98"/>
      <c r="C3" s="98"/>
      <c r="D3" s="98"/>
      <c r="E3" s="98"/>
      <c r="F3" s="98"/>
      <c r="G3" s="98"/>
      <c r="H3" s="98"/>
      <c r="I3" s="98"/>
      <c r="J3" s="98"/>
    </row>
    <row r="4" spans="1:10" ht="36" customHeight="1" x14ac:dyDescent="0.3">
      <c r="A4" s="99" t="s">
        <v>591</v>
      </c>
      <c r="B4" s="100"/>
      <c r="C4" s="100"/>
      <c r="D4" s="100"/>
      <c r="E4" s="100"/>
      <c r="F4" s="100"/>
      <c r="G4" s="100"/>
      <c r="H4" s="100"/>
      <c r="I4" s="100"/>
      <c r="J4" s="100"/>
    </row>
    <row r="5" spans="1:10" s="267" customFormat="1" ht="19.5" customHeight="1" x14ac:dyDescent="0.3">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7" customFormat="1" ht="19.5" customHeight="1" x14ac:dyDescent="0.3">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7" customFormat="1" ht="19.5" customHeight="1" x14ac:dyDescent="0.3">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7" customFormat="1" ht="19.5" customHeight="1" x14ac:dyDescent="0.3">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7" customFormat="1" ht="19.5" customHeight="1" x14ac:dyDescent="0.3">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35">
      <c r="A10" s="248" t="str">
        <f>HLOOKUP($A$4,'Auto Responses'!$F$2:$F$8,7,0)&amp;""</f>
        <v>For full instructions, please visit EDUCAUSE.edu/HECVAT</v>
      </c>
      <c r="B10" s="61"/>
      <c r="C10" s="61"/>
      <c r="D10" s="61"/>
      <c r="E10" s="61"/>
      <c r="F10" s="61"/>
      <c r="G10" s="61"/>
      <c r="H10" s="61"/>
      <c r="I10" s="61"/>
      <c r="J10" s="61"/>
    </row>
    <row r="11" spans="1:10" s="89" customFormat="1" ht="25.5" customHeight="1" x14ac:dyDescent="0.3">
      <c r="A11" s="153" t="str">
        <f>'START HERE'!$B$13</f>
        <v>Solution Provider Name</v>
      </c>
      <c r="B11" s="139"/>
      <c r="C11" s="133" t="str">
        <f>VLOOKUP($A11,'START HERE'!$B$13:$C$21,2,0)&amp;""</f>
        <v>Preservica Inc</v>
      </c>
      <c r="D11" s="134"/>
      <c r="E11" s="135"/>
      <c r="F11" s="90"/>
      <c r="G11" s="90"/>
      <c r="H11" s="95"/>
      <c r="I11" s="90"/>
      <c r="J11" s="90"/>
    </row>
    <row r="12" spans="1:10" s="89" customFormat="1" ht="25.5" customHeight="1" x14ac:dyDescent="0.3">
      <c r="A12" s="154" t="str">
        <f>'START HERE'!$B$16</f>
        <v>Solution Provider Contact Name</v>
      </c>
      <c r="B12" s="140"/>
      <c r="C12" s="132" t="str">
        <f>VLOOKUP($A12,'START HERE'!$B$13:$C$21,2,0)&amp;""</f>
        <v>Sales</v>
      </c>
      <c r="D12" s="97"/>
      <c r="E12" s="136"/>
      <c r="F12" s="90"/>
      <c r="G12" s="90"/>
      <c r="H12" s="95"/>
      <c r="I12" s="90"/>
      <c r="J12" s="90"/>
    </row>
    <row r="13" spans="1:10" s="89" customFormat="1" ht="25.5" customHeight="1" x14ac:dyDescent="0.3">
      <c r="A13" s="154" t="str">
        <f>'START HERE'!$B$17</f>
        <v>Solution Provider Contact Title</v>
      </c>
      <c r="B13" s="140"/>
      <c r="C13" s="132" t="str">
        <f>VLOOKUP($A13,'START HERE'!$B$13:$C$21,2,0)&amp;""</f>
        <v>Sales</v>
      </c>
      <c r="D13" s="97"/>
      <c r="E13" s="136"/>
      <c r="F13" s="90"/>
      <c r="G13" s="90"/>
      <c r="H13" s="95"/>
      <c r="I13" s="90"/>
      <c r="J13" s="90"/>
    </row>
    <row r="14" spans="1:10" s="89" customFormat="1" ht="25.5" customHeight="1" x14ac:dyDescent="0.3">
      <c r="A14" s="154" t="str">
        <f>'START HERE'!$B$18</f>
        <v>Solution Provider Contact Email</v>
      </c>
      <c r="B14" s="140"/>
      <c r="C14" s="132" t="str">
        <f>VLOOKUP($A14,'START HERE'!$B$13:$C$21,2,0)&amp;""</f>
        <v>Sales@preservica.com</v>
      </c>
      <c r="D14" s="97"/>
      <c r="E14" s="136"/>
      <c r="F14" s="130"/>
      <c r="G14" s="131"/>
      <c r="H14" s="131"/>
      <c r="I14" s="131"/>
      <c r="J14" s="131"/>
    </row>
    <row r="15" spans="1:10" s="89" customFormat="1" ht="25.5" customHeight="1" x14ac:dyDescent="0.3">
      <c r="A15" s="154" t="str">
        <f>'START HERE'!$B$14</f>
        <v>Solution Name</v>
      </c>
      <c r="B15" s="140"/>
      <c r="C15" s="132" t="str">
        <f>VLOOKUP($A15,'START HERE'!$B$13:$C$21,2,0)&amp;""</f>
        <v>Preservica Pro, Preservica Pro Plus, Preservica Enterprise, Preservica Enterprise Plus - v9.x</v>
      </c>
      <c r="D15" s="97"/>
      <c r="E15" s="136"/>
      <c r="F15" s="130"/>
      <c r="G15" s="131"/>
      <c r="H15" s="131"/>
      <c r="I15" s="131"/>
      <c r="J15" s="131"/>
    </row>
    <row r="16" spans="1:10" s="89" customFormat="1" ht="25.5" customHeight="1" x14ac:dyDescent="0.3">
      <c r="A16" s="154" t="str">
        <f>'START HERE'!$B$15</f>
        <v>Solution Description</v>
      </c>
      <c r="B16" s="140"/>
      <c r="C16" s="132" t="str">
        <f>VLOOKUP($A16,'START HERE'!$B$13:$C$21,2,0)&amp;""</f>
        <v>Preservica combines all the core requirements for successful long-term active digital preservation – including public and secure access - into a single integrated application that can be quickly deployed and hosted in the cloud.</v>
      </c>
      <c r="D16" s="97"/>
      <c r="E16" s="136"/>
      <c r="F16" s="130"/>
      <c r="G16" s="131"/>
      <c r="H16" s="131"/>
      <c r="I16" s="131"/>
      <c r="J16" s="131"/>
    </row>
    <row r="17" spans="1:11" s="89" customFormat="1" ht="25.5" customHeight="1" thickBot="1" x14ac:dyDescent="0.35">
      <c r="A17" s="155" t="s">
        <v>592</v>
      </c>
      <c r="B17" s="141"/>
      <c r="C17" s="332">
        <f>'START HERE'!$C$3</f>
        <v>46255</v>
      </c>
      <c r="D17" s="137"/>
      <c r="E17" s="138"/>
      <c r="F17" s="130"/>
      <c r="G17" s="131"/>
      <c r="H17" s="131"/>
      <c r="I17" s="131"/>
      <c r="J17" s="131"/>
    </row>
    <row r="18" spans="1:11" s="89" customFormat="1" ht="24.75" customHeight="1" x14ac:dyDescent="0.3">
      <c r="A18" s="90"/>
      <c r="B18" s="90"/>
      <c r="C18" s="255"/>
      <c r="D18" s="96"/>
      <c r="E18" s="90"/>
      <c r="F18" s="90"/>
      <c r="G18" s="90"/>
      <c r="H18" s="91"/>
      <c r="I18" s="91"/>
      <c r="J18" s="91"/>
    </row>
    <row r="19" spans="1:11" s="87" customFormat="1" ht="24" customHeight="1" thickBot="1" x14ac:dyDescent="0.35">
      <c r="A19" s="378"/>
      <c r="B19" s="378"/>
      <c r="C19" s="378"/>
      <c r="D19" s="88"/>
    </row>
    <row r="20" spans="1:11" ht="30" customHeight="1" thickBot="1" x14ac:dyDescent="0.35">
      <c r="A20" s="268" t="s">
        <v>593</v>
      </c>
      <c r="B20" s="83" t="s">
        <v>594</v>
      </c>
      <c r="C20" s="107" t="s">
        <v>595</v>
      </c>
      <c r="D20" s="82" t="s">
        <v>596</v>
      </c>
      <c r="E20" s="106" t="s">
        <v>597</v>
      </c>
      <c r="F20" s="106" t="s">
        <v>598</v>
      </c>
      <c r="G20" s="122" t="s">
        <v>599</v>
      </c>
      <c r="H20" s="123"/>
      <c r="I20" s="124"/>
    </row>
    <row r="21" spans="1:11" s="84" customFormat="1" ht="40.5" customHeight="1" x14ac:dyDescent="0.3">
      <c r="B21" s="85" t="str">
        <f>VLOOKUP($K21,'Auto Responses'!$N$4:$O$38,2,0)&amp;""</f>
        <v xml:space="preserve"> General Privacy</v>
      </c>
      <c r="C21" s="352"/>
      <c r="D21" s="108" t="str">
        <f>IF($C21=TRUE,SUMIF('(backend scoring)'!$B$3:$B$333,$K21,'(backend scoring)'!$O$3:$O$333),"")</f>
        <v/>
      </c>
      <c r="E21" s="115" t="str">
        <f>IF($C21=TRUE,SUMIF('(backend scoring)'!$B$3:$B$333,$K21,'(backend scoring)'!$P$3:$P$333),"")</f>
        <v/>
      </c>
      <c r="F21" s="143" t="str">
        <f>IFERROR($E21/$D21,'Auto Responses'!$J$5)</f>
        <v>N/A</v>
      </c>
      <c r="G21" s="218" t="str">
        <f>$G$20&amp;B21</f>
        <v>Jump to General Privacy</v>
      </c>
      <c r="H21" s="117"/>
      <c r="I21" s="119"/>
      <c r="K21" s="351" t="s">
        <v>645</v>
      </c>
    </row>
    <row r="22" spans="1:11" s="84" customFormat="1" ht="40.5" customHeight="1" x14ac:dyDescent="0.3">
      <c r="B22" s="85" t="str">
        <f>VLOOKUP($K22,'Auto Responses'!$N$4:$O$38,2,0)&amp;""</f>
        <v xml:space="preserve"> Privacy-Specific Company Details</v>
      </c>
      <c r="C22" s="114" t="b">
        <v>1</v>
      </c>
      <c r="D22" s="108">
        <f>IF($C22=TRUE,SUMIF('(backend scoring)'!$B$3:$B$333,$K22,'(backend scoring)'!$O$3:$O$333),"")</f>
        <v>30</v>
      </c>
      <c r="E22" s="115">
        <f>IF($C22=TRUE,SUMIF('(backend scoring)'!$B$3:$B$333,$K22,'(backend scoring)'!$P$3:$P$333),"")</f>
        <v>30</v>
      </c>
      <c r="F22" s="142">
        <f>IFERROR($E22/$D22,'Auto Responses'!$J$5)</f>
        <v>1</v>
      </c>
      <c r="G22" s="218" t="str">
        <f t="shared" ref="G22:G30" si="0">$G$20&amp;B22</f>
        <v>Jump to Privacy-Specific Company Details</v>
      </c>
      <c r="H22" s="116"/>
      <c r="I22" s="120"/>
      <c r="K22" s="351" t="s">
        <v>646</v>
      </c>
    </row>
    <row r="23" spans="1:11" s="84" customFormat="1" ht="40.5" customHeight="1" x14ac:dyDescent="0.3">
      <c r="B23" s="85" t="str">
        <f>VLOOKUP($K23,'Auto Responses'!$N$4:$O$38,2,0)&amp;""</f>
        <v xml:space="preserve"> Privacy-Specific Documentation</v>
      </c>
      <c r="C23" s="114" t="b">
        <v>1</v>
      </c>
      <c r="D23" s="108">
        <f>IF($C23=TRUE,SUMIF('(backend scoring)'!$B$3:$B$333,$K23,'(backend scoring)'!$O$3:$O$333),"")</f>
        <v>10</v>
      </c>
      <c r="E23" s="115">
        <f>IF($C23=TRUE,SUMIF('(backend scoring)'!$B$3:$B$333,$K23,'(backend scoring)'!$P$3:$P$333),"")</f>
        <v>10</v>
      </c>
      <c r="F23" s="142">
        <f>IFERROR($E23/$D23,'Auto Responses'!$J$5)</f>
        <v>1</v>
      </c>
      <c r="G23" s="218" t="str">
        <f t="shared" si="0"/>
        <v>Jump to Privacy-Specific Documentation</v>
      </c>
      <c r="H23" s="116"/>
      <c r="I23" s="120"/>
      <c r="K23" s="351" t="s">
        <v>647</v>
      </c>
    </row>
    <row r="24" spans="1:11" s="84" customFormat="1" ht="40.5" customHeight="1" x14ac:dyDescent="0.3">
      <c r="B24" s="85" t="str">
        <f>VLOOKUP($K24,'Auto Responses'!$N$4:$O$38,2,0)&amp;""</f>
        <v xml:space="preserve"> Privacy of Third Parties</v>
      </c>
      <c r="C24" s="114" t="b">
        <v>1</v>
      </c>
      <c r="D24" s="108">
        <f>IF($C24=TRUE,SUMIF('(backend scoring)'!$B$3:$B$333,$K24,'(backend scoring)'!$O$3:$O$333),"")</f>
        <v>25</v>
      </c>
      <c r="E24" s="115">
        <f>IF($C24=TRUE,SUMIF('(backend scoring)'!$B$3:$B$333,$K24,'(backend scoring)'!$P$3:$P$333),"")</f>
        <v>25</v>
      </c>
      <c r="F24" s="142">
        <f>IFERROR($E24/$D24,'Auto Responses'!$J$5)</f>
        <v>1</v>
      </c>
      <c r="G24" s="218" t="str">
        <f t="shared" si="0"/>
        <v>Jump to Privacy of Third Parties</v>
      </c>
      <c r="H24" s="116"/>
      <c r="I24" s="120"/>
      <c r="K24" s="351" t="s">
        <v>648</v>
      </c>
    </row>
    <row r="25" spans="1:11" s="84" customFormat="1" ht="40.5" customHeight="1" x14ac:dyDescent="0.3">
      <c r="B25" s="85" t="str">
        <f>VLOOKUP($K25,'Auto Responses'!$N$4:$O$38,2,0)&amp;""</f>
        <v xml:space="preserve"> Privacy Change Management</v>
      </c>
      <c r="C25" s="114" t="b">
        <v>1</v>
      </c>
      <c r="D25" s="108">
        <f>IF($C25=TRUE,SUMIF('(backend scoring)'!$B$3:$B$333,$K25,'(backend scoring)'!$O$3:$O$333),"")</f>
        <v>15</v>
      </c>
      <c r="E25" s="115">
        <f>IF($C25=TRUE,SUMIF('(backend scoring)'!$B$3:$B$333,$K25,'(backend scoring)'!$P$3:$P$333),"")</f>
        <v>15</v>
      </c>
      <c r="F25" s="142">
        <f>IFERROR($E25/$D25,'Auto Responses'!$J$5)</f>
        <v>1</v>
      </c>
      <c r="G25" s="218" t="str">
        <f t="shared" si="0"/>
        <v>Jump to Privacy Change Management</v>
      </c>
      <c r="H25" s="116"/>
      <c r="I25" s="120"/>
      <c r="K25" s="351" t="s">
        <v>649</v>
      </c>
    </row>
    <row r="26" spans="1:11" s="84" customFormat="1" ht="40.5" customHeight="1" x14ac:dyDescent="0.3">
      <c r="B26" s="85" t="str">
        <f>VLOOKUP($K26,'Auto Responses'!$N$4:$O$38,2,0)&amp;""</f>
        <v xml:space="preserve"> Privacy of Sensitive Data</v>
      </c>
      <c r="C26" s="114" t="b">
        <v>1</v>
      </c>
      <c r="D26" s="108">
        <f>IF($C26=TRUE,SUMIF('(backend scoring)'!$B$3:$B$333,$K26,'(backend scoring)'!$O$3:$O$333),"")</f>
        <v>80</v>
      </c>
      <c r="E26" s="115">
        <f>IF($C26=TRUE,SUMIF('(backend scoring)'!$B$3:$B$333,$K26,'(backend scoring)'!$P$3:$P$333),"")</f>
        <v>60</v>
      </c>
      <c r="F26" s="142">
        <f>IFERROR($E26/$D26,'Auto Responses'!$J$5)</f>
        <v>0.75</v>
      </c>
      <c r="G26" s="218" t="str">
        <f t="shared" si="0"/>
        <v>Jump to Privacy of Sensitive Data</v>
      </c>
      <c r="H26" s="116"/>
      <c r="I26" s="120"/>
      <c r="K26" s="351" t="s">
        <v>650</v>
      </c>
    </row>
    <row r="27" spans="1:11" s="84" customFormat="1" ht="40.5" customHeight="1" x14ac:dyDescent="0.3">
      <c r="B27" s="85" t="str">
        <f>VLOOKUP($K27,'Auto Responses'!$N$4:$O$38,2,0)&amp;""</f>
        <v xml:space="preserve"> Privacy Policies and Procedures</v>
      </c>
      <c r="C27" s="114" t="b">
        <v>1</v>
      </c>
      <c r="D27" s="108">
        <f>IF($C27=TRUE,SUMIF('(backend scoring)'!$B$3:$B$333,$K27,'(backend scoring)'!$O$3:$O$333),"")</f>
        <v>100</v>
      </c>
      <c r="E27" s="115">
        <f>IF($C27=TRUE,SUMIF('(backend scoring)'!$B$3:$B$333,$K27,'(backend scoring)'!$P$3:$P$333),"")</f>
        <v>100</v>
      </c>
      <c r="F27" s="142">
        <f>IFERROR($E27/$D27,'Auto Responses'!$J$5)</f>
        <v>1</v>
      </c>
      <c r="G27" s="218" t="str">
        <f t="shared" si="0"/>
        <v>Jump to Privacy Policies and Procedures</v>
      </c>
      <c r="H27" s="116"/>
      <c r="I27" s="120"/>
      <c r="K27" s="351" t="s">
        <v>651</v>
      </c>
    </row>
    <row r="28" spans="1:11" s="84" customFormat="1" ht="40.5" customHeight="1" x14ac:dyDescent="0.3">
      <c r="B28" s="85" t="str">
        <f>VLOOKUP($K28,'Auto Responses'!$N$4:$O$38,2,0)&amp;""</f>
        <v xml:space="preserve"> International Privacy</v>
      </c>
      <c r="C28" s="114" t="b">
        <v>1</v>
      </c>
      <c r="D28" s="108">
        <f>IF($C28=TRUE,SUMIF('(backend scoring)'!$B$3:$B$333,$K28,'(backend scoring)'!$O$3:$O$333),"")</f>
        <v>40</v>
      </c>
      <c r="E28" s="115">
        <f>IF($C28=TRUE,SUMIF('(backend scoring)'!$B$3:$B$333,$K28,'(backend scoring)'!$P$3:$P$333),"")</f>
        <v>30</v>
      </c>
      <c r="F28" s="142">
        <f>IFERROR($E28/$D28,'Auto Responses'!$J$5)</f>
        <v>0.75</v>
      </c>
      <c r="G28" s="218" t="str">
        <f t="shared" si="0"/>
        <v>Jump to International Privacy</v>
      </c>
      <c r="H28" s="116"/>
      <c r="I28" s="120"/>
      <c r="K28" s="351" t="s">
        <v>652</v>
      </c>
    </row>
    <row r="29" spans="1:11" s="84" customFormat="1" ht="40.5" customHeight="1" x14ac:dyDescent="0.3">
      <c r="B29" s="85" t="str">
        <f>VLOOKUP($K29,'Auto Responses'!$N$4:$O$38,2,0)&amp;""</f>
        <v xml:space="preserve"> Data Privacy</v>
      </c>
      <c r="C29" s="114" t="b">
        <v>1</v>
      </c>
      <c r="D29" s="108">
        <f>IF($C29=TRUE,SUMIF('(backend scoring)'!$B$3:$B$333,$K29,'(backend scoring)'!$O$3:$O$333),"")</f>
        <v>150</v>
      </c>
      <c r="E29" s="115">
        <f>IF($C29=TRUE,SUMIF('(backend scoring)'!$B$3:$B$333,$K29,'(backend scoring)'!$P$3:$P$333),"")</f>
        <v>140</v>
      </c>
      <c r="F29" s="142">
        <f>IFERROR($E29/$D29,'Auto Responses'!$J$5)</f>
        <v>0.93333333333333335</v>
      </c>
      <c r="G29" s="218" t="str">
        <f t="shared" si="0"/>
        <v>Jump to Data Privacy</v>
      </c>
      <c r="H29" s="116"/>
      <c r="I29" s="120"/>
      <c r="K29" s="351" t="s">
        <v>653</v>
      </c>
    </row>
    <row r="30" spans="1:11" s="84" customFormat="1" ht="40.5" customHeight="1" thickBot="1" x14ac:dyDescent="0.35">
      <c r="B30" s="85" t="str">
        <f>VLOOKUP($K30,'Auto Responses'!$N$4:$O$38,2,0)&amp;""</f>
        <v xml:space="preserve"> Privacy and AI</v>
      </c>
      <c r="C30" s="114" t="b">
        <v>1</v>
      </c>
      <c r="D30" s="108">
        <f>IF($C30=TRUE,SUMIF('(backend scoring)'!$B$3:$B$333,$K30,'(backend scoring)'!$O$3:$O$333),"")</f>
        <v>80</v>
      </c>
      <c r="E30" s="115">
        <f>IF($C30=TRUE,SUMIF('(backend scoring)'!$B$3:$B$333,$K30,'(backend scoring)'!$P$3:$P$333),"")</f>
        <v>55</v>
      </c>
      <c r="F30" s="142">
        <f>IFERROR($E30/$D30,'Auto Responses'!$J$5)</f>
        <v>0.6875</v>
      </c>
      <c r="G30" s="218" t="str">
        <f t="shared" si="0"/>
        <v>Jump to Privacy and AI</v>
      </c>
      <c r="H30" s="116"/>
      <c r="I30" s="120"/>
      <c r="K30" s="351" t="s">
        <v>654</v>
      </c>
    </row>
    <row r="31" spans="1:11" s="84" customFormat="1" ht="30" customHeight="1" thickBot="1" x14ac:dyDescent="0.3">
      <c r="B31" s="83" t="s">
        <v>655</v>
      </c>
      <c r="C31" s="107"/>
      <c r="D31" s="109">
        <f>SUM(D21:D30)</f>
        <v>530</v>
      </c>
      <c r="E31" s="109">
        <f>SUM(E21:E30)</f>
        <v>465</v>
      </c>
      <c r="F31" s="81">
        <f>IFERROR($E31/$D31,'Auto Responses'!$J$5)</f>
        <v>0.87735849056603776</v>
      </c>
      <c r="G31" s="125"/>
      <c r="H31" s="126"/>
      <c r="I31" s="127"/>
      <c r="J31" s="234" t="s">
        <v>36</v>
      </c>
    </row>
    <row r="32" spans="1:11" ht="15" x14ac:dyDescent="0.3">
      <c r="F32" s="55" t="s">
        <v>620</v>
      </c>
    </row>
    <row r="33" spans="1:12" ht="15" x14ac:dyDescent="0.3"/>
    <row r="34" spans="1:12" ht="15" customHeight="1" x14ac:dyDescent="0.3"/>
    <row r="35" spans="1:12" s="176" customFormat="1" ht="36" customHeight="1" x14ac:dyDescent="0.25">
      <c r="A35" s="171" t="s">
        <v>656</v>
      </c>
      <c r="B35" s="171"/>
      <c r="C35" s="175"/>
      <c r="D35" s="171"/>
      <c r="E35" s="171"/>
      <c r="F35" s="171"/>
      <c r="G35" s="171"/>
      <c r="H35" s="171"/>
      <c r="I35" s="171"/>
      <c r="J35" s="171"/>
      <c r="K35" s="171"/>
      <c r="L35" s="35"/>
    </row>
    <row r="36" spans="1:12" s="23" customFormat="1" ht="36" customHeight="1" x14ac:dyDescent="0.25">
      <c r="A36" s="24" t="s">
        <v>622</v>
      </c>
      <c r="B36" s="24"/>
      <c r="C36" s="69"/>
      <c r="D36" s="24"/>
      <c r="E36" s="24"/>
      <c r="F36" s="24"/>
      <c r="G36" s="24"/>
      <c r="H36" s="24"/>
      <c r="I36" s="24"/>
      <c r="J36" s="24"/>
      <c r="K36" s="24"/>
      <c r="L36" s="1"/>
    </row>
    <row r="37" spans="1:12" s="1" customFormat="1" ht="36" customHeight="1" x14ac:dyDescent="0.25">
      <c r="A37" s="11" t="s">
        <v>591</v>
      </c>
      <c r="B37" s="12"/>
      <c r="C37" s="13"/>
      <c r="D37" s="14"/>
      <c r="E37" s="14"/>
      <c r="F37" s="15"/>
      <c r="G37" s="15"/>
      <c r="H37" s="15"/>
      <c r="I37" s="15"/>
      <c r="J37" s="15"/>
      <c r="K37" s="15"/>
    </row>
    <row r="38" spans="1:12" s="1" customFormat="1" ht="19.5" customHeight="1" x14ac:dyDescent="0.25">
      <c r="A38" s="247" t="str">
        <f>HLOOKUP($A$4,'Auto Responses'!$F$2:$F$7,2,0)&amp;""</f>
        <v>1. Upon initial review, you can check the "Non-Negotiable" box by any question to compile a report of questions that may prohibit a full review.</v>
      </c>
      <c r="B38" s="247"/>
      <c r="C38" s="247"/>
      <c r="D38" s="247"/>
      <c r="E38" s="247"/>
      <c r="F38" s="247"/>
      <c r="G38" s="247"/>
      <c r="H38" s="247"/>
      <c r="I38" s="247"/>
      <c r="J38" s="247"/>
      <c r="K38" s="16"/>
    </row>
    <row r="39" spans="1:12" s="1" customFormat="1" ht="19.5" customHeight="1" x14ac:dyDescent="0.25">
      <c r="A39" s="247" t="str">
        <f>HLOOKUP($A$4,'Auto Responses'!$F$2:$F$7,3,0)&amp;""</f>
        <v>2. When evaluating an answer, a default importance level has been set. You can use the "Importance Override" dropdown to override the default and adjust the value of the question.</v>
      </c>
      <c r="B39" s="247"/>
      <c r="C39" s="247"/>
      <c r="D39" s="247"/>
      <c r="E39" s="247"/>
      <c r="F39" s="247"/>
      <c r="G39" s="247"/>
      <c r="H39" s="247"/>
      <c r="I39" s="247"/>
      <c r="J39" s="247"/>
      <c r="K39" s="16"/>
    </row>
    <row r="40" spans="1:12" s="1" customFormat="1" ht="19.5" customHeight="1" x14ac:dyDescent="0.25">
      <c r="A40" s="247" t="str">
        <f>HLOOKUP($A$4,'Auto Responses'!$F$2:$F$7,4,0)&amp;""</f>
        <v>3. For questions that are qualitative or for which you disagree with the preferred response, make a selection in the "Compliant Override" dropdown to adjust the question's impact on the score.</v>
      </c>
      <c r="B40" s="247"/>
      <c r="C40" s="247"/>
      <c r="D40" s="247"/>
      <c r="E40" s="247"/>
      <c r="F40" s="247"/>
      <c r="G40" s="247"/>
      <c r="H40" s="247"/>
      <c r="I40" s="247"/>
      <c r="J40" s="247"/>
      <c r="K40" s="16"/>
    </row>
    <row r="41" spans="1:12" s="1" customFormat="1" ht="19.5" customHeight="1" x14ac:dyDescent="0.25">
      <c r="A41" s="247" t="str">
        <f>HLOOKUP($A$4,'Auto Responses'!$F$2:$F$7,5,0)&amp;""</f>
        <v xml:space="preserve">4. Each worksheet shows a report for that section. See the "Analyst Report" sheet for a full report of all sections. </v>
      </c>
      <c r="B41" s="247"/>
      <c r="C41" s="247"/>
      <c r="D41" s="247"/>
      <c r="E41" s="247"/>
      <c r="F41" s="247"/>
      <c r="G41" s="247"/>
      <c r="H41" s="247"/>
      <c r="I41" s="247"/>
      <c r="J41" s="247"/>
      <c r="K41" s="16"/>
    </row>
    <row r="42" spans="1:12" s="1" customFormat="1" ht="19.5" customHeight="1" x14ac:dyDescent="0.25">
      <c r="A42" s="247" t="str">
        <f>HLOOKUP($A$4,'Auto Responses'!$F$2:$F$7,6,0)&amp;""</f>
        <v xml:space="preserve">5. If you are evaluating a question that appears in an earlier section, the Importance and Compliant Override cannot be changed but additional notes can be added. </v>
      </c>
      <c r="B42" s="247"/>
      <c r="C42" s="247"/>
      <c r="D42" s="247"/>
      <c r="E42" s="247"/>
      <c r="F42" s="247"/>
      <c r="G42" s="247"/>
      <c r="H42" s="247"/>
      <c r="I42" s="247"/>
      <c r="J42" s="247"/>
      <c r="K42" s="16"/>
    </row>
    <row r="43" spans="1:12" s="1" customFormat="1" ht="19.5" customHeight="1" thickBot="1" x14ac:dyDescent="0.3">
      <c r="A43" s="247" t="str">
        <f>HLOOKUP($A$4,'Auto Responses'!$F$2:$F$8,7,0)&amp;""</f>
        <v>For full instructions, please visit EDUCAUSE.edu/HECVAT</v>
      </c>
      <c r="B43" s="61"/>
      <c r="C43" s="61"/>
      <c r="D43" s="61"/>
      <c r="E43" s="61"/>
      <c r="F43" s="61"/>
      <c r="G43" s="61"/>
      <c r="H43" s="61"/>
      <c r="I43" s="61"/>
      <c r="J43" s="61"/>
      <c r="K43" s="16"/>
    </row>
    <row r="44" spans="1:12" s="23" customFormat="1" ht="41.25" customHeight="1" thickBot="1" x14ac:dyDescent="0.3">
      <c r="A44" s="25"/>
      <c r="B44" s="25"/>
      <c r="C44" s="70"/>
      <c r="D44" s="25"/>
      <c r="E44" s="25"/>
      <c r="F44" s="183" t="s">
        <v>24</v>
      </c>
      <c r="G44" s="178" t="s">
        <v>623</v>
      </c>
      <c r="H44" s="179"/>
      <c r="I44" s="179"/>
      <c r="J44" s="179"/>
      <c r="K44" s="180"/>
      <c r="L44" s="1"/>
    </row>
    <row r="45" spans="1:12" s="29" customFormat="1" ht="48" customHeight="1" thickBot="1" x14ac:dyDescent="0.3">
      <c r="A45" s="26" t="s">
        <v>624</v>
      </c>
      <c r="B45" s="27" t="s">
        <v>625</v>
      </c>
      <c r="C45" s="27" t="s">
        <v>657</v>
      </c>
      <c r="D45" s="28" t="s">
        <v>22</v>
      </c>
      <c r="E45" s="303" t="s">
        <v>23</v>
      </c>
      <c r="F45" s="187" t="s">
        <v>626</v>
      </c>
      <c r="G45" s="46" t="s">
        <v>627</v>
      </c>
      <c r="H45" s="43" t="s">
        <v>628</v>
      </c>
      <c r="I45" s="43" t="s">
        <v>629</v>
      </c>
      <c r="J45" s="44" t="s">
        <v>630</v>
      </c>
      <c r="K45" s="47" t="s">
        <v>631</v>
      </c>
      <c r="L45" s="1"/>
    </row>
    <row r="46" spans="1:12" s="1" customFormat="1" ht="17.5" x14ac:dyDescent="0.25">
      <c r="A46" s="63" t="str">
        <f>VLOOKUP(LEFT($A47,4),'Auto Responses'!$N$4:$O$38,2,0)&amp;""</f>
        <v xml:space="preserve"> General Privacy</v>
      </c>
      <c r="B46" s="22"/>
      <c r="C46" s="31"/>
      <c r="D46" s="31"/>
      <c r="E46" s="31"/>
      <c r="F46" s="129" t="s">
        <v>632</v>
      </c>
      <c r="G46" s="331" t="s">
        <v>627</v>
      </c>
      <c r="H46" s="331" t="s">
        <v>628</v>
      </c>
      <c r="I46" s="331" t="s">
        <v>629</v>
      </c>
      <c r="J46" s="331" t="s">
        <v>630</v>
      </c>
      <c r="K46" s="31"/>
    </row>
    <row r="47" spans="1:12" s="29" customFormat="1" ht="255" x14ac:dyDescent="0.25">
      <c r="A47" s="19" t="s">
        <v>464</v>
      </c>
      <c r="B47" s="18" t="str">
        <f>VLOOKUP($A47,Questions!$A$2:$X$333,2,0)</f>
        <v>Does your solution process FERPA-related data?</v>
      </c>
      <c r="C47" s="45" t="str">
        <f>VLOOKUP($A47,Privacy!$A$13:$E$97,3,0)&amp;""</f>
        <v>Yes</v>
      </c>
      <c r="D47" s="34" t="str">
        <f>IF(LEFT(VLOOKUP($A47,Privacy!$A$13:$E$97,5,0),21)='Auto Responses'!$A$32,'Auto Responses'!$A$33,VLOOKUP($A47,Privacy!$A$13:$E$97,4,0))&amp;""</f>
        <v>Preservica is suitable for storing Education Records as defined under FERPA. Preservica must be designated a "School Official" with a "Legitimate Educational Interest" in the data within the contract terms and conditions; Preservica has standard clauses available to facilitate this designation, so no bespoke drafting is normally required.</v>
      </c>
      <c r="E47" s="328" t="str">
        <f>VLOOKUP($A47,Privacy!$A$13:$E$97,5,0)&amp;""</f>
        <v>Provide documentation on the types of FERPA data you process and for what purpose, including data unrelated to service delivery such as marketing.</v>
      </c>
      <c r="F47" s="184"/>
      <c r="G47" s="30" t="str">
        <f>VLOOKUP($A47,Questions!$A$2:$X$333,21,0)&amp;""</f>
        <v>Not scored</v>
      </c>
      <c r="H47" s="181"/>
      <c r="I47" s="45" t="str">
        <f>VLOOKUP($A47,Questions!$A$2:$X$333,23,0)&amp;""</f>
        <v/>
      </c>
      <c r="J47" s="181"/>
      <c r="K47" s="48" t="b">
        <v>0</v>
      </c>
      <c r="L47" s="1"/>
    </row>
    <row r="48" spans="1:12" s="29" customFormat="1" ht="375" x14ac:dyDescent="0.25">
      <c r="A48" s="19" t="s">
        <v>466</v>
      </c>
      <c r="B48" s="18" t="str">
        <f>VLOOKUP($A48,Questions!$A$2:$X$333,2,0)</f>
        <v>Does your solution process GDPR-related or PIPL-related data?</v>
      </c>
      <c r="C48" s="45" t="str">
        <f>VLOOKUP($A48,Privacy!$A$13:$E$97,3,0)&amp;""</f>
        <v>Yes</v>
      </c>
      <c r="D48" s="34" t="str">
        <f>IF(LEFT(VLOOKUP($A48,Privacy!$A$13:$E$97,5,0),21)='Auto Responses'!$A$32,'Auto Responses'!$A$33,VLOOKUP($A48,Privacy!$A$13:$E$97,4,0))&amp;""</f>
        <v>Where an institution ingests personal data subject to the UK GDPR or EU GDPR, Preservica processes it as Processor on the institution's documented instructions. Preservica maintains a Privacy Policy and a GDPR Policy, both published via the Trust Center at https://preservica.com/trust-center, has appointed a Data Protection Officer contactable at Privacy@preservica.com, and will enter into a Data Processing Agreement and Standard Contractual Clauses with the institution.</v>
      </c>
      <c r="E48" s="328" t="str">
        <f>VLOOKUP($A48,Privacy!$A$13:$E$97,5,0)&amp;""</f>
        <v>Provide documentation of any processes or policies that address compliance with GDPR and/or PIPL as appropriate.</v>
      </c>
      <c r="F48" s="184"/>
      <c r="G48" s="30" t="str">
        <f>VLOOKUP($A48,Questions!$A$2:$X$333,21,0)&amp;""</f>
        <v>Not scored</v>
      </c>
      <c r="H48" s="181"/>
      <c r="I48" s="45" t="str">
        <f>VLOOKUP($A48,Questions!$A$2:$X$333,23,0)&amp;""</f>
        <v/>
      </c>
      <c r="J48" s="181"/>
      <c r="K48" s="48" t="b">
        <v>0</v>
      </c>
      <c r="L48" s="1"/>
    </row>
    <row r="49" spans="1:12" s="29" customFormat="1" ht="345" x14ac:dyDescent="0.25">
      <c r="A49" s="19" t="s">
        <v>468</v>
      </c>
      <c r="B49" s="18" t="str">
        <f>VLOOKUP($A49,Questions!$A$2:$X$333,2,0)</f>
        <v>Does your solution process personal data regulated by state law(s) (e.g., CCPA)?</v>
      </c>
      <c r="C49" s="45" t="str">
        <f>VLOOKUP($A49,Privacy!$A$13:$E$97,3,0)&amp;""</f>
        <v>Yes</v>
      </c>
      <c r="D49" s="34" t="str">
        <f>IF(LEFT(VLOOKUP($A49,Privacy!$A$13:$E$97,5,0),21)='Auto Responses'!$A$32,'Auto Responses'!$A$33,VLOOKUP($A49,Privacy!$A$13:$E$97,4,0))&amp;""</f>
        <v>Preservica does not restrict the categories of personal data an institution may ingest, so personal data regulated by US state privacy laws may be present where the institution chooses to store it. Preservica processes such data as Processor, on the institution's documented instructions and solely to deliver the contracted service. It is not sold, shared for cross-context behavioural advertising, or used for Preservica's own purposes.</v>
      </c>
      <c r="E49" s="328" t="str">
        <f>VLOOKUP($A49,Privacy!$A$13:$E$97,5,0)&amp;""</f>
        <v>Provide documentation of any processes or policies that address compliance with applicable state laws.</v>
      </c>
      <c r="F49" s="184"/>
      <c r="G49" s="30" t="str">
        <f>VLOOKUP($A49,Questions!$A$2:$X$333,21,0)&amp;""</f>
        <v>Not scored</v>
      </c>
      <c r="H49" s="181"/>
      <c r="I49" s="45" t="str">
        <f>VLOOKUP($A49,Questions!$A$2:$X$333,23,0)&amp;""</f>
        <v/>
      </c>
      <c r="J49" s="181"/>
      <c r="K49" s="48" t="b">
        <v>0</v>
      </c>
      <c r="L49" s="1"/>
    </row>
    <row r="50" spans="1:12" s="29" customFormat="1" ht="330" x14ac:dyDescent="0.25">
      <c r="A50" s="19" t="s">
        <v>470</v>
      </c>
      <c r="B50" s="18" t="str">
        <f>VLOOKUP($A50,Questions!$A$2:$X$333,2,0)</f>
        <v>Does your solution process user-provided data that may contain regulated information?</v>
      </c>
      <c r="C50" s="45" t="str">
        <f>VLOOKUP($A50,Privacy!$A$13:$E$97,3,0)&amp;""</f>
        <v>Yes</v>
      </c>
      <c r="D50" s="34" t="str">
        <f>IF(LEFT(VLOOKUP($A50,Privacy!$A$13:$E$97,5,0),21)='Auto Responses'!$A$32,'Auto Responses'!$A$33,VLOOKUP($A50,Privacy!$A$13:$E$97,4,0))&amp;""</f>
        <v>The platform accepts content selected and submitted by the institution, which may contain regulated information. Preservica does not inspect or filter that content and does not determine its classification; the institution determines what is ingested and its sensitivity. All such content is treated internally at Preservica's highest classification level, and Preservica processes it only as Processor on the institution's documented instructions.</v>
      </c>
      <c r="E50" s="328" t="str">
        <f>VLOOKUP($A50,Privacy!$A$13:$E$97,5,0)&amp;""</f>
        <v>Identify any applicable regulations and provide documentation of any processes or policies that address compliance with each.</v>
      </c>
      <c r="F50" s="184"/>
      <c r="G50" s="30" t="str">
        <f>VLOOKUP($A50,Questions!$A$2:$X$333,21,0)&amp;""</f>
        <v>Not scored</v>
      </c>
      <c r="H50" s="181"/>
      <c r="I50" s="45" t="str">
        <f>VLOOKUP($A50,Questions!$A$2:$X$333,23,0)&amp;""</f>
        <v/>
      </c>
      <c r="J50" s="181"/>
      <c r="K50" s="48" t="b">
        <v>0</v>
      </c>
      <c r="L50" s="1"/>
    </row>
    <row r="51" spans="1:12" s="29" customFormat="1" ht="120" x14ac:dyDescent="0.25">
      <c r="A51" s="19" t="s">
        <v>472</v>
      </c>
      <c r="B51" s="18" t="str">
        <f>VLOOKUP($A51,Questions!$A$2:$X$333,2,0)</f>
        <v>Web Link to Product/Service Privacy Notice</v>
      </c>
      <c r="C51" s="301" t="str">
        <f>VLOOKUP($A51,Privacy!$A$13:$E$97,3,0)&amp;""</f>
        <v/>
      </c>
      <c r="D51" s="34" t="str">
        <f>IF(LEFT(VLOOKUP($A51,Privacy!$A$13:$E$97,5,0),21)='Auto Responses'!$A$32,'Auto Responses'!$A$33,VLOOKUP($A51,Privacy!$A$13:$E$97,4,0))&amp;""</f>
        <v>https://preservica.com/privacy-notice — Preservica's Privacy Policy and GDPR Policy are also published via the Trust Center at https://preservica.com/trust-center.</v>
      </c>
      <c r="E51" s="328" t="str">
        <f>VLOOKUP($A51,Privacy!$A$13:$E$97,5,0)&amp;""</f>
        <v>If multiple notices are implicated, provide all that apply. If any other documents are incorporated by reference, provide them as well.</v>
      </c>
      <c r="F51" s="184"/>
      <c r="G51" s="30" t="str">
        <f>VLOOKUP($A51,Questions!$A$2:$X$333,21,0)&amp;""</f>
        <v>Not scored</v>
      </c>
      <c r="H51" s="181"/>
      <c r="I51" s="45" t="str">
        <f>VLOOKUP($A51,Questions!$A$2:$X$333,23,0)&amp;""</f>
        <v/>
      </c>
      <c r="J51" s="181"/>
      <c r="K51" s="48" t="b">
        <v>0</v>
      </c>
      <c r="L51" s="1"/>
    </row>
    <row r="52" spans="1:12" s="1" customFormat="1" ht="17.5" x14ac:dyDescent="0.25">
      <c r="A52" s="63" t="str">
        <f>VLOOKUP(LEFT($A53,4),'Auto Responses'!$N$4:$O$38,2,0)&amp;""</f>
        <v xml:space="preserve"> Privacy-Specific Company Details</v>
      </c>
      <c r="B52" s="22"/>
      <c r="C52" s="31"/>
      <c r="D52" s="31"/>
      <c r="E52" s="327"/>
      <c r="F52" s="129" t="s">
        <v>632</v>
      </c>
      <c r="G52" s="331" t="s">
        <v>627</v>
      </c>
      <c r="H52" s="331" t="s">
        <v>628</v>
      </c>
      <c r="I52" s="331" t="s">
        <v>629</v>
      </c>
      <c r="J52" s="331" t="s">
        <v>630</v>
      </c>
      <c r="K52" s="31"/>
    </row>
    <row r="53" spans="1:12" s="29" customFormat="1" ht="67.5" x14ac:dyDescent="0.25">
      <c r="A53" s="19" t="s">
        <v>474</v>
      </c>
      <c r="B53" s="18" t="str">
        <f>VLOOKUP($A53,Questions!$A$2:$X$333,2,0)</f>
        <v>Have you had a personal data breach in the past three years that involved reporting to a governmental agency, notice to individuals (including voluntary notice), or notice to another organization or institution?*</v>
      </c>
      <c r="C53" s="45" t="str">
        <f>VLOOKUP($A53,Privacy!$A$13:$E$97,3,0)&amp;""</f>
        <v>No</v>
      </c>
      <c r="D53" s="34" t="str">
        <f>IF(LEFT(VLOOKUP($A53,Privacy!$A$13:$E$97,5,0),21)='Auto Responses'!$A$32,'Auto Responses'!$A$33,VLOOKUP($A53,Privacy!$A$13:$E$97,4,0))&amp;""</f>
        <v/>
      </c>
      <c r="E53" s="326" t="str">
        <f>VLOOKUP($A53,Privacy!$A$13:$E$97,5,0)&amp;""</f>
        <v/>
      </c>
      <c r="F53" s="184"/>
      <c r="G53" s="30" t="str">
        <f>VLOOKUP($A53,Questions!$A$2:$X$333,21,0)&amp;""</f>
        <v>No</v>
      </c>
      <c r="H53" s="181"/>
      <c r="I53" s="45" t="str">
        <f>VLOOKUP($A53,Questions!$A$2:$X$333,23,0)&amp;""</f>
        <v>Critical Importance</v>
      </c>
      <c r="J53" s="181"/>
      <c r="K53" s="48" t="b">
        <v>0</v>
      </c>
      <c r="L53" s="1"/>
    </row>
    <row r="54" spans="1:12" s="29" customFormat="1" ht="409.5" x14ac:dyDescent="0.25">
      <c r="A54" s="19" t="s">
        <v>475</v>
      </c>
      <c r="B54" s="18" t="str">
        <f>VLOOKUP($A54,Questions!$A$2:$X$333,2,0)</f>
        <v>Use this area to share information about your privacy practices that will assist those who are assessing your company data privacy program.*</v>
      </c>
      <c r="C54" s="301" t="str">
        <f>VLOOKUP($A54,Privacy!$A$13:$E$97,3,0)&amp;""</f>
        <v/>
      </c>
      <c r="D54" s="34" t="str">
        <f>IF(LEFT(VLOOKUP($A54,Privacy!$A$13:$E$97,5,0),21)='Auto Responses'!$A$32,'Auto Responses'!$A$33,VLOOKUP($A54,Privacy!$A$13:$E$97,4,0))&amp;""</f>
        <v>Preservica operates its privacy programme within a certified management system. Preservica holds ISO/IEC 27001:2022 and ISO 9001:2015 certification, Cyber Essentials and Cyber Essentials Plus, and undergoes an annual SOC 2 Type II audit; certificates and compliance documentation are published via the Trust Center at https://preservica.com/trust-center. Key features of the programme: (1) Role — Preservica acts as Processor in respect of all content an institution ingests, processing it only to deliver the contracted service and on the institution's documented instructions; Preservica is Controller only for the limited personal data needed to manage the commercial relationship, for security and service monitoring of the platform, and for monitoring required by law. (2) Accountability — a Data Protection Officer is appointed and contactable at Privacy@preservica.com, reporting independently, and is engaged in the incident escalation path wherever personal data may be affected. (3) Documentation — a Privacy Policy and a GDPR Policy are published via the Trust Center, supported by a Record of Processing Activities covering the processing for which Preservica is Controller, and established Data Protection Impact Assessment templates and processes. (4) Sub-processors — the platform is hosted on AWS or Microsoft Azure as specified in the Order Form, with Cloudflare used for Professional edition and above; Preservica accepts responsibility for its sub-processors under its standard Terms and Conditions. (5) Breach notification — Preservica notifies affected institutions of any confirmed incident affecting their environment and of any confirmed breach affecting their data, within contractually committed timeframes. (6) People — all staff, temporary staff, consultants and in-scope third parties complete mandatory security and privacy awareness training on onboarding and at intervals not exceeding annually. (7) Product — AI capabilities are opt-in and disabled by default, and institutional content is never used to train or fine-tune any AI model. The Shared Responsibility Model setting out the division of privacy and security responsibilities is published at https://website-assets.preservica.com/production/resources/Shared-Responsibility-Model-Global-v1.1.pdf.</v>
      </c>
      <c r="E54" s="326" t="str">
        <f>VLOOKUP($A54,Privacy!$A$13:$E$97,5,0)&amp;""</f>
        <v>Share any additional details that would help data privacy analysts assess your solution.</v>
      </c>
      <c r="F54" s="184"/>
      <c r="G54" s="30" t="str">
        <f>VLOOKUP($A54,Questions!$A$2:$X$333,21,0)&amp;""</f>
        <v>Not scored</v>
      </c>
      <c r="H54" s="181"/>
      <c r="I54" s="45" t="str">
        <f>VLOOKUP($A54,Questions!$A$2:$X$333,23,0)&amp;""</f>
        <v/>
      </c>
      <c r="J54" s="181"/>
      <c r="K54" s="48" t="b">
        <v>0</v>
      </c>
      <c r="L54" s="1"/>
    </row>
    <row r="55" spans="1:12" s="29" customFormat="1" ht="40.5" x14ac:dyDescent="0.25">
      <c r="A55" s="19" t="s">
        <v>477</v>
      </c>
      <c r="B55" s="18" t="str">
        <f>VLOOKUP($A55,Questions!$A$2:$X$333,2,0)</f>
        <v>Have you had any violations of your internal privacy policies or violations of applicable privacy law in the past 36 months?</v>
      </c>
      <c r="C55" s="45" t="str">
        <f>VLOOKUP($A55,Privacy!$A$13:$E$97,3,0)&amp;""</f>
        <v>No</v>
      </c>
      <c r="D55" s="34" t="str">
        <f>IF(LEFT(VLOOKUP($A55,Privacy!$A$13:$E$97,5,0),21)='Auto Responses'!$A$32,'Auto Responses'!$A$33,VLOOKUP($A55,Privacy!$A$13:$E$97,4,0))&amp;""</f>
        <v/>
      </c>
      <c r="E55" s="326" t="str">
        <f>VLOOKUP($A55,Privacy!$A$13:$E$97,5,0)&amp;""</f>
        <v/>
      </c>
      <c r="F55" s="184"/>
      <c r="G55" s="30" t="str">
        <f>VLOOKUP($A55,Questions!$A$2:$X$333,21,0)&amp;""</f>
        <v>No</v>
      </c>
      <c r="H55" s="181"/>
      <c r="I55" s="45" t="str">
        <f>VLOOKUP($A55,Questions!$A$2:$X$333,23,0)&amp;""</f>
        <v>Minor Importance</v>
      </c>
      <c r="J55" s="181"/>
      <c r="K55" s="48" t="b">
        <v>0</v>
      </c>
      <c r="L55" s="1"/>
    </row>
    <row r="56" spans="1:12" s="29" customFormat="1" ht="409.5" x14ac:dyDescent="0.25">
      <c r="A56" s="19" t="s">
        <v>478</v>
      </c>
      <c r="B56" s="18" t="str">
        <f>VLOOKUP($A56,Questions!$A$2:$X$333,2,0)</f>
        <v>Do you have a dedicated data privacy staff or office?</v>
      </c>
      <c r="C56" s="45" t="str">
        <f>VLOOKUP($A56,Privacy!$A$13:$E$97,3,0)&amp;""</f>
        <v>Yes</v>
      </c>
      <c r="D56" s="34" t="str">
        <f>IF(LEFT(VLOOKUP($A56,Privacy!$A$13:$E$97,5,0),21)='Auto Responses'!$A$32,'Auto Responses'!$A$33,VLOOKUP($A56,Privacy!$A$13:$E$97,4,0))&amp;""</f>
        <v>Preservica has appointed a Data Protection Officer, contactable at Privacy@preservica.com. As a matter of company policy the role is identified by function rather than by named individual, providing a stable and continuously monitored point of contact that is unaffected by personnel changes; this is consistent with Article 37(7) of the UK GDPR and EU GDPR, which requires the DPO's contact details to be published but not the DPO's name. The Data Protection Officer is engaged in the incident escalation path wherever an incident has affected, or is likely to have affected, personal data, and advises on assessment, containment and notification.</v>
      </c>
      <c r="E56" s="326" t="str">
        <f>VLOOKUP($A56,Privacy!$A$13:$E$97,5,0)&amp;""</f>
        <v>Describe your data privacy office, including size, talents, resources, etc.</v>
      </c>
      <c r="F56" s="184"/>
      <c r="G56" s="30" t="str">
        <f>VLOOKUP($A56,Questions!$A$2:$X$333,21,0)&amp;""</f>
        <v>Yes</v>
      </c>
      <c r="H56" s="181"/>
      <c r="I56" s="45" t="str">
        <f>VLOOKUP($A56,Questions!$A$2:$X$333,23,0)&amp;""</f>
        <v>Minor Importance</v>
      </c>
      <c r="J56" s="181"/>
      <c r="K56" s="48" t="b">
        <v>0</v>
      </c>
      <c r="L56" s="1"/>
    </row>
    <row r="57" spans="1:12" s="1" customFormat="1" ht="17.5" x14ac:dyDescent="0.25">
      <c r="A57" s="63" t="str">
        <f>VLOOKUP(LEFT($A58,4),'Auto Responses'!$N$4:$O$38,2,0)&amp;""</f>
        <v xml:space="preserve"> Privacy-Specific Documentation</v>
      </c>
      <c r="B57" s="22"/>
      <c r="C57" s="31"/>
      <c r="D57" s="31"/>
      <c r="E57" s="327"/>
      <c r="F57" s="129" t="s">
        <v>632</v>
      </c>
      <c r="G57" s="331" t="s">
        <v>627</v>
      </c>
      <c r="H57" s="331" t="s">
        <v>628</v>
      </c>
      <c r="I57" s="331" t="s">
        <v>629</v>
      </c>
      <c r="J57" s="331" t="s">
        <v>630</v>
      </c>
      <c r="K57" s="31"/>
    </row>
    <row r="58" spans="1:12" s="29" customFormat="1" ht="360" x14ac:dyDescent="0.25">
      <c r="A58" s="19" t="s">
        <v>480</v>
      </c>
      <c r="B58" s="18" t="str">
        <f>VLOOKUP($A58,Questions!$A$2:$X$333,2,0)</f>
        <v>If you have completed a SOC 2 audit, does it include the Privacy Trust Service Principle?</v>
      </c>
      <c r="C58" s="45" t="str">
        <f>VLOOKUP($A58,Privacy!$A$13:$E$97,3,0)&amp;""</f>
        <v>No</v>
      </c>
      <c r="D58" s="34" t="str">
        <f>IF(LEFT(VLOOKUP($A58,Privacy!$A$13:$E$97,5,0),21)='Auto Responses'!$A$32,'Auto Responses'!$A$33,VLOOKUP($A58,Privacy!$A$13:$E$97,4,0))&amp;""</f>
        <v>Preservica undergoes an annual SOC 2 Type II audit covering the period October to September each year. The current report is available to customers on request. Certifications held include ISO/IEC 27001:2022, ISO 9001:2015, Cyber Essentials and Cyber Essentials Plus, together with TX-RAMP and AZRAMP authorisations; certificates and compliance documentation are published via the Trust Center at https://preservica.com/trust-center.</v>
      </c>
      <c r="E58" s="326" t="str">
        <f>VLOOKUP($A58,Privacy!$A$13:$E$97,5,0)&amp;""</f>
        <v>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v>
      </c>
      <c r="F58" s="184"/>
      <c r="G58" s="30" t="str">
        <f>VLOOKUP($A58,Questions!$A$2:$X$333,21,0)&amp;""</f>
        <v>Not scored</v>
      </c>
      <c r="H58" s="181"/>
      <c r="I58" s="45" t="str">
        <f>VLOOKUP($A58,Questions!$A$2:$X$333,23,0)&amp;""</f>
        <v/>
      </c>
      <c r="J58" s="181"/>
      <c r="K58" s="48" t="b">
        <v>0</v>
      </c>
      <c r="L58" s="1"/>
    </row>
    <row r="59" spans="1:12" s="29" customFormat="1" ht="409.5" x14ac:dyDescent="0.25">
      <c r="A59" s="19" t="s">
        <v>482</v>
      </c>
      <c r="B59" s="18" t="str">
        <f>VLOOKUP($A59,Questions!$A$2:$X$333,2,0)</f>
        <v>Do you conform with a specific industry-standard privacy framework (e.g., NIST Privacy Framework, GDPR, ISO 27701)?</v>
      </c>
      <c r="C59" s="45" t="str">
        <f>VLOOKUP($A59,Privacy!$A$13:$E$97,3,0)&amp;""</f>
        <v>Yes</v>
      </c>
      <c r="D59" s="34" t="str">
        <f>IF(LEFT(VLOOKUP($A59,Privacy!$A$13:$E$97,5,0),21)='Auto Responses'!$A$32,'Auto Responses'!$A$33,VLOOKUP($A59,Privacy!$A$13:$E$97,4,0))&amp;""</f>
        <v>Preservica's privacy programme is built on the UK GDPR and EU GDPR, which the question names as a qualifying framework. Preservica maintains a published Privacy Policy and GDPR Policy, has appointed a Data Protection Officer, maintains a Record of Processing Activities covering the processing for which it is Controller, and operates established Data Protection Impact Assessment templates and processes. Preservica will enter into a Data Processing Agreement and Standard Contractual Clauses with the institution. Preservica's privacy controls sit within its ISO/IEC 27001:2022 certified information security management system, which is independently audited annually. Preservica is not currently certified to ISO/IEC 27701 and does not currently assert conformance with the NIST Privacy Framework.</v>
      </c>
      <c r="E59" s="326" t="str">
        <f>VLOOKUP($A59,Privacy!$A$13:$E$97,5,0)&amp;""</f>
        <v>Indicate which framework(s) are followed; provide documentation on how your organization conforms to your chosen framework(s) and indicate current certification levels, where appropriate.</v>
      </c>
      <c r="F59" s="184"/>
      <c r="G59" s="30" t="str">
        <f>VLOOKUP($A59,Questions!$A$2:$X$333,21,0)&amp;""</f>
        <v>Not scored</v>
      </c>
      <c r="H59" s="181"/>
      <c r="I59" s="45" t="str">
        <f>VLOOKUP($A59,Questions!$A$2:$X$333,23,0)&amp;""</f>
        <v/>
      </c>
      <c r="J59" s="181"/>
      <c r="K59" s="48" t="b">
        <v>0</v>
      </c>
      <c r="L59" s="1"/>
    </row>
    <row r="60" spans="1:12" s="29" customFormat="1" ht="409.5" x14ac:dyDescent="0.25">
      <c r="A60" s="19" t="s">
        <v>484</v>
      </c>
      <c r="B60" s="18" t="str">
        <f>VLOOKUP($A60,Questions!$A$2:$X$333,2,0)</f>
        <v>Does your employee onboarding and offboarding policy include training of employees on information security and data privacy?</v>
      </c>
      <c r="C60" s="45" t="str">
        <f>VLOOKUP($A60,Privacy!$A$13:$E$97,3,0)&amp;""</f>
        <v>Yes</v>
      </c>
      <c r="D60" s="34" t="str">
        <f>IF(LEFT(VLOOKUP($A60,Privacy!$A$13:$E$97,5,0),21)='Auto Responses'!$A$32,'Auto Responses'!$A$33,VLOOKUP($A60,Privacy!$A$13:$E$97,4,0))&amp;""</f>
        <v>All Preservica staff, temporary staff, consultants and third parties with access to Preservica or customer information complete mandatory security and privacy awareness training during onboarding and thereafter at intervals not exceeding annually, with additional ad hoc training following significant incidents, threats or material regulatory, policy or technology changes. Content includes data classification, secure handling, transmission, storage, retention and disposal of sensitive customer information, phishing and social engineering, and incident and breach reporting. Privileged users and staff with access to customer data receive additional role-specific training on their responsibilities and applicable compliance requirements. All employees must read and acknowledge core policies on hire and annually thereafter, with role-specific policies for relevant teams. On termination, access rights are removed, assets are returned and recorded, and equipment is reset with user data securely wiped before reuse or disposal.</v>
      </c>
      <c r="E60" s="326" t="str">
        <f>VLOOKUP($A60,Privacy!$A$13:$E$97,5,0)&amp;""</f>
        <v>Provide an overview of your organization's relevant onboarding/offboarding policy and employee training on information security and privacy.</v>
      </c>
      <c r="F60" s="184"/>
      <c r="G60" s="30" t="str">
        <f>VLOOKUP($A60,Questions!$A$2:$X$333,21,0)&amp;""</f>
        <v>Yes</v>
      </c>
      <c r="H60" s="181"/>
      <c r="I60" s="45" t="str">
        <f>VLOOKUP($A60,Questions!$A$2:$X$333,23,0)&amp;""</f>
        <v>Standard Importance</v>
      </c>
      <c r="J60" s="181"/>
      <c r="K60" s="48" t="b">
        <v>0</v>
      </c>
      <c r="L60" s="1"/>
    </row>
    <row r="61" spans="1:12" s="1" customFormat="1" ht="17.5" x14ac:dyDescent="0.25">
      <c r="A61" s="63" t="str">
        <f>VLOOKUP(LEFT($A62,4),'Auto Responses'!$N$4:$O$38,2,0)&amp;""</f>
        <v xml:space="preserve"> Privacy of Third Parties</v>
      </c>
      <c r="B61" s="22"/>
      <c r="C61" s="31"/>
      <c r="D61" s="31"/>
      <c r="E61" s="327"/>
      <c r="F61" s="129" t="s">
        <v>632</v>
      </c>
      <c r="G61" s="331" t="s">
        <v>627</v>
      </c>
      <c r="H61" s="331" t="s">
        <v>628</v>
      </c>
      <c r="I61" s="331" t="s">
        <v>629</v>
      </c>
      <c r="J61" s="331" t="s">
        <v>630</v>
      </c>
      <c r="K61" s="31"/>
    </row>
    <row r="62" spans="1:12" s="29" customFormat="1" ht="409.5" x14ac:dyDescent="0.25">
      <c r="A62" s="19" t="s">
        <v>486</v>
      </c>
      <c r="B62" s="18" t="str">
        <f>VLOOKUP($A62,Questions!$A$2:$X$333,2,0)</f>
        <v>Do you have contractual agreements with third parties that require them to maintain standards and to comply with all regulatory requirements?*</v>
      </c>
      <c r="C62" s="45" t="str">
        <f>VLOOKUP($A62,Privacy!$A$13:$E$97,3,0)&amp;""</f>
        <v>Yes</v>
      </c>
      <c r="D62" s="34" t="str">
        <f>IF(LEFT(VLOOKUP($A62,Privacy!$A$13:$E$97,5,0),21)='Auto Responses'!$A$32,'Auto Responses'!$A$33,VLOOKUP($A62,Privacy!$A$13:$E$97,4,0))&amp;""</f>
        <v>Preservica's sub-processors are AWS or Microsoft Azure, as specified in the institution's Order Form, together with Cloudflare for Professional edition and above. Preservica accepts responsibility for its sub-processors under its standard Terms and Conditions. Supplier arrangements are governed by Preservica's Supplier Management Policy, which operates within its ISO/IEC 27001:2022 and ISO 9001:2015 certified management systems; certifications and independent attestations held by critical suppliers are reviewed at least annually under Preservica's Critical Supplier Review process. Sub-processors are approved and used on a region-dependent basis consistent with the institution's contracted data residency requirements. Where third parties or consultants have access to Preservica or customer information, Preservica ensures through contractual or equivalent means that they have security awareness training equal to or greater than that required of Preservica's own staff, and enrols them in Preservica's own programme where suitable training cannot be verified.</v>
      </c>
      <c r="E62" s="326" t="str">
        <f>VLOOKUP($A62,Privacy!$A$13:$E$97,5,0)&amp;""</f>
        <v>Provide a summary of the contractual language used and your processes for ensuring appropriate language is regularly reviewed and is included in both new and renewed agreements.</v>
      </c>
      <c r="F62" s="184"/>
      <c r="G62" s="30" t="str">
        <f>VLOOKUP($A62,Questions!$A$2:$X$333,21,0)&amp;""</f>
        <v>Yes</v>
      </c>
      <c r="H62" s="181"/>
      <c r="I62" s="45" t="str">
        <f>VLOOKUP($A62,Questions!$A$2:$X$333,23,0)&amp;""</f>
        <v>Critical Importance</v>
      </c>
      <c r="J62" s="181"/>
      <c r="K62" s="48" t="b">
        <v>0</v>
      </c>
      <c r="L62" s="1"/>
    </row>
    <row r="63" spans="1:12" s="29" customFormat="1" ht="409.5" x14ac:dyDescent="0.25">
      <c r="A63" s="19" t="s">
        <v>488</v>
      </c>
      <c r="B63" s="18" t="str">
        <f>VLOOKUP($A63,Questions!$A$2:$X$333,2,0)</f>
        <v>Do you perform privacy impact assessments of third parties that collect, process, or have access to personal data to ensure they meet industry and regulatory standards and to mitigate harmful, unethical, or discriminatory impacts on data subjects?</v>
      </c>
      <c r="C63" s="45" t="str">
        <f>VLOOKUP($A63,Privacy!$A$13:$E$97,3,0)&amp;""</f>
        <v>Yes</v>
      </c>
      <c r="D63" s="34" t="str">
        <f>IF(LEFT(VLOOKUP($A63,Privacy!$A$13:$E$97,5,0),21)='Auto Responses'!$A$32,'Auto Responses'!$A$33,VLOOKUP($A63,Privacy!$A$13:$E$97,4,0))&amp;""</f>
        <v>Third parties with access to Preservica or customer information are assessed before engagement and reviewed thereafter under Preservica's Supplier Management Policy, which operates within its ISO/IEC 27001:2022 and ISO 9001:2015 certified management systems. For critical suppliers, including the cloud infrastructure providers hosting customer data, Preservica reviews the supplier's independent certifications and attestations at least annually under its Critical Supplier Review process. Supplier and third-party risks, including risks to personal data, are assessed within Preservica's risk management programme on a likelihood and impact basis, with every risk reviewed at least annually and more frequently where residual risk warrants it; risks above tolerance must be terminated, transferred or mitigated. Preservica maintains established Data Protection Impact Assessment templates and processes, and accepts responsibility for its sub-processors under its standard Terms and Conditions.</v>
      </c>
      <c r="E63" s="326" t="str">
        <f>VLOOKUP($A63,Privacy!$A$13:$E$97,5,0)&amp;""</f>
        <v>Provide a summary of your practices that assures that the third party will be subject to the appropriate standards regarding data privacy.</v>
      </c>
      <c r="F63" s="184"/>
      <c r="G63" s="30" t="str">
        <f>VLOOKUP($A63,Questions!$A$2:$X$333,21,0)&amp;""</f>
        <v>Yes</v>
      </c>
      <c r="H63" s="181"/>
      <c r="I63" s="45" t="str">
        <f>VLOOKUP($A63,Questions!$A$2:$X$333,23,0)&amp;""</f>
        <v>Minor Importance</v>
      </c>
      <c r="J63" s="181"/>
      <c r="K63" s="48" t="b">
        <v>0</v>
      </c>
      <c r="L63" s="1"/>
    </row>
    <row r="64" spans="1:12" s="1" customFormat="1" ht="17.5" x14ac:dyDescent="0.25">
      <c r="A64" s="63" t="str">
        <f>VLOOKUP(LEFT($A65,4),'Auto Responses'!$N$4:$O$38,2,0)&amp;""</f>
        <v xml:space="preserve"> Privacy Change Management</v>
      </c>
      <c r="B64" s="22"/>
      <c r="C64" s="31"/>
      <c r="D64" s="31"/>
      <c r="E64" s="327"/>
      <c r="F64" s="129" t="s">
        <v>632</v>
      </c>
      <c r="G64" s="331" t="s">
        <v>627</v>
      </c>
      <c r="H64" s="331" t="s">
        <v>628</v>
      </c>
      <c r="I64" s="331" t="s">
        <v>629</v>
      </c>
      <c r="J64" s="331" t="s">
        <v>630</v>
      </c>
      <c r="K64" s="31"/>
    </row>
    <row r="65" spans="1:12" s="29" customFormat="1" ht="409.5" x14ac:dyDescent="0.25">
      <c r="A65" s="19" t="s">
        <v>490</v>
      </c>
      <c r="B65" s="18" t="str">
        <f>VLOOKUP($A65,Questions!$A$2:$X$333,2,0)</f>
        <v>Does your change management process include privacy review and approval?</v>
      </c>
      <c r="C65" s="45" t="str">
        <f>VLOOKUP($A65,Privacy!$A$13:$E$97,3,0)&amp;""</f>
        <v>Yes</v>
      </c>
      <c r="D65" s="34" t="str">
        <f>IF(LEFT(VLOOKUP($A65,Privacy!$A$13:$E$97,5,0),21)='Auto Responses'!$A$32,'Auto Responses'!$A$33,VLOOKUP($A65,Privacy!$A$13:$E$97,4,0))&amp;""</f>
        <v>Privacy by design is a principle of Preservica's Secure Development Policy, which establishes mandatory standards and controls across requirements specification, system design, development, testing and deployment. System designs are peer-reviewed at regular Technical Review meetings attended by DevOps and Operations personnel, senior engineers and a representative from Information Security, and are assessed against recognised secure design categories at the design stage. Changes to the service are managed under a documented Change Management procedure covering authorisation, testing and approval, with a Change Advisory Board chaired by the Operations Director that meets bi-weekly and approves or denies change requests; the operating effectiveness of these change management controls is tested independently in Preservica's annual SOC 2 Type II audit. Preservica maintains established Data Protection Impact Assessment templates and processes for use where a change warrants assessment. New AI capabilities are released disabled by default and require explicit activation by the institution.</v>
      </c>
      <c r="E65" s="326" t="str">
        <f>VLOOKUP($A65,Privacy!$A$13:$E$97,5,0)&amp;""</f>
        <v>Please describe your process for privacy review.</v>
      </c>
      <c r="F65" s="184"/>
      <c r="G65" s="30" t="str">
        <f>VLOOKUP($A65,Questions!$A$2:$X$333,21,0)&amp;""</f>
        <v>Yes</v>
      </c>
      <c r="H65" s="181"/>
      <c r="I65" s="45" t="str">
        <f>VLOOKUP($A65,Questions!$A$2:$X$333,23,0)&amp;""</f>
        <v>Standard Importance</v>
      </c>
      <c r="J65" s="181"/>
      <c r="K65" s="48" t="b">
        <v>0</v>
      </c>
      <c r="L65" s="1"/>
    </row>
    <row r="66" spans="1:12" s="29" customFormat="1" ht="409.5" x14ac:dyDescent="0.25">
      <c r="A66" s="19" t="s">
        <v>492</v>
      </c>
      <c r="B66" s="18" t="str">
        <f>VLOOKUP($A66,Questions!$A$2:$X$333,2,0)</f>
        <v>Do you have policy and procedure, currently implemented, guiding how privacy risks are mitigated until they can be resolved?</v>
      </c>
      <c r="C66" s="45" t="str">
        <f>VLOOKUP($A66,Privacy!$A$13:$E$97,3,0)&amp;""</f>
        <v>Yes</v>
      </c>
      <c r="D66" s="34" t="str">
        <f>IF(LEFT(VLOOKUP($A66,Privacy!$A$13:$E$97,5,0),21)='Auto Responses'!$A$32,'Auto Responses'!$A$33,VLOOKUP($A66,Privacy!$A$13:$E$97,4,0))&amp;""</f>
        <v>Risks, including privacy risks, are managed under Preservica's documented risk management process, which covers all corporate operations including the Preservica service and operates within its certified management systems. Risks are assessed on a likelihood and impact basis; risk tolerances and acceptance criteria are set by the Leadership Team, and risks assessed above tolerance must be terminated, transferred or mitigated rather than accepted. Where a risk cannot be resolved immediately, interim mitigation and compensating controls are applied and recorded, and the residual risk determines the review frequency; every risk is reviewed at least annually and more frequently where residual risk warrants it, with the risk register reviewed monthly by the Chief Information Security Officer. Vulnerabilities are assessed and remediated according to the risk they present, taking into account the vendor's own rating, the applicability and configuration of the affected component in Preservica's environment, and any existing compensating controls. Policies and procedures are reviewed at least annually, on material change in the environment, or following an incident, each with an assigned Owner and Approver.</v>
      </c>
      <c r="E66" s="326" t="str">
        <f>VLOOKUP($A66,Privacy!$A$13:$E$97,5,0)&amp;""</f>
        <v>Please provide an overview of privacy risk mitigation.</v>
      </c>
      <c r="F66" s="184"/>
      <c r="G66" s="30" t="str">
        <f>VLOOKUP($A66,Questions!$A$2:$X$333,21,0)&amp;""</f>
        <v>Yes</v>
      </c>
      <c r="H66" s="181"/>
      <c r="I66" s="45" t="str">
        <f>VLOOKUP($A66,Questions!$A$2:$X$333,23,0)&amp;""</f>
        <v>Minor Importance</v>
      </c>
      <c r="J66" s="181"/>
      <c r="K66" s="48" t="b">
        <v>0</v>
      </c>
      <c r="L66" s="1"/>
    </row>
    <row r="67" spans="1:12" s="1" customFormat="1" ht="17.5" x14ac:dyDescent="0.25">
      <c r="A67" s="63" t="str">
        <f>VLOOKUP(LEFT($A68,4),'Auto Responses'!$N$4:$O$38,2,0)&amp;""</f>
        <v xml:space="preserve"> Privacy of Sensitive Data</v>
      </c>
      <c r="B67" s="22"/>
      <c r="C67" s="31"/>
      <c r="D67" s="31"/>
      <c r="E67" s="327"/>
      <c r="F67" s="129" t="s">
        <v>632</v>
      </c>
      <c r="G67" s="331" t="s">
        <v>627</v>
      </c>
      <c r="H67" s="331" t="s">
        <v>628</v>
      </c>
      <c r="I67" s="331" t="s">
        <v>629</v>
      </c>
      <c r="J67" s="331" t="s">
        <v>630</v>
      </c>
      <c r="K67" s="31"/>
    </row>
    <row r="68" spans="1:12" s="29" customFormat="1" ht="409.5" x14ac:dyDescent="0.25">
      <c r="A68" s="19" t="s">
        <v>494</v>
      </c>
      <c r="B68" s="18" t="str">
        <f>VLOOKUP($A68,Questions!$A$2:$X$333,2,0)</f>
        <v>Do you collect, process, or store demographic information?*</v>
      </c>
      <c r="C68" s="45" t="str">
        <f>VLOOKUP($A68,Privacy!$A$13:$E$97,3,0)&amp;""</f>
        <v>No</v>
      </c>
      <c r="D68" s="34" t="str">
        <f>IF(LEFT(VLOOKUP($A68,Privacy!$A$13:$E$97,5,0),21)='Auto Responses'!$A$32,'Auto Responses'!$A$33,VLOOKUP($A68,Privacy!$A$13:$E$97,4,0))&amp;""</f>
        <v>Preservica does not collect demographic information about the institution's users or data subjects. The only personal data Preservica collects in its own right is the limited information required to manage the commercial relationship with the institution, as described in the Privacy Policy. Where an institution chooses to ingest content that contains demographic information, that content is processed by Preservica solely as Processor, on the institution's documented instructions; Preservica does not extract, derive or analyse demographic attributes from it.</v>
      </c>
      <c r="E68" s="326" t="str">
        <f>VLOOKUP($A68,Privacy!$A$13:$E$97,5,0)&amp;""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68" s="184"/>
      <c r="G68" s="30" t="str">
        <f>VLOOKUP($A68,Questions!$A$2:$X$333,21,0)&amp;""</f>
        <v>No</v>
      </c>
      <c r="H68" s="181"/>
      <c r="I68" s="45" t="str">
        <f>VLOOKUP($A68,Questions!$A$2:$X$333,23,0)&amp;""</f>
        <v>Critical Importance</v>
      </c>
      <c r="J68" s="181"/>
      <c r="K68" s="48" t="b">
        <v>0</v>
      </c>
      <c r="L68" s="1"/>
    </row>
    <row r="69" spans="1:12" s="29" customFormat="1" ht="409.5" x14ac:dyDescent="0.25">
      <c r="A69" s="19" t="s">
        <v>496</v>
      </c>
      <c r="B69" s="18" t="str">
        <f>VLOOKUP($A69,Questions!$A$2:$X$333,2,0)</f>
        <v>Do you capture or create genetic, biometric, or behaviometric information (e.g., facial recognition or fingerprints)?*</v>
      </c>
      <c r="C69" s="45" t="str">
        <f>VLOOKUP($A69,Privacy!$A$13:$E$97,3,0)&amp;""</f>
        <v>No</v>
      </c>
      <c r="D69" s="34" t="str">
        <f>IF(LEFT(VLOOKUP($A69,Privacy!$A$13:$E$97,5,0),21)='Auto Responses'!$A$32,'Auto Responses'!$A$33,VLOOKUP($A69,Privacy!$A$13:$E$97,4,0))&amp;""</f>
        <v>Preservica does not capture or create genetic, biometric or behaviometric information. The platform's optional AI capabilities are limited to optical character recognition, identification of potential personal data within text, image description, audio and video transcription, and metadata quality checking; they do not include facial recognition, biometric matching, or behavioural profiling, and no biometric templates or identifiers are generated. Where an institution chooses to ingest content that itself contains such information, Preservica stores it as ingested and processes it solely as Processor on the institution's documented instructions.</v>
      </c>
      <c r="E69" s="326" t="str">
        <f>VLOOKUP($A69,Privacy!$A$13:$E$97,5,0)&amp;""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69" s="184"/>
      <c r="G69" s="30" t="str">
        <f>VLOOKUP($A69,Questions!$A$2:$X$333,21,0)&amp;""</f>
        <v>No</v>
      </c>
      <c r="H69" s="181"/>
      <c r="I69" s="45" t="str">
        <f>VLOOKUP($A69,Questions!$A$2:$X$333,23,0)&amp;""</f>
        <v>Critical Importance</v>
      </c>
      <c r="J69" s="181"/>
      <c r="K69" s="48" t="b">
        <v>0</v>
      </c>
      <c r="L69" s="1"/>
    </row>
    <row r="70" spans="1:12" s="29" customFormat="1" ht="345" x14ac:dyDescent="0.25">
      <c r="A70" s="19" t="s">
        <v>497</v>
      </c>
      <c r="B70" s="18" t="str">
        <f>VLOOKUP($A70,Questions!$A$2:$X$333,2,0)</f>
        <v>Do you combine institutional data (including "de-identified," "anonymized," or otherwise masked data) with personal data from any other sources?*</v>
      </c>
      <c r="C70" s="45" t="str">
        <f>VLOOKUP($A70,Privacy!$A$13:$E$97,3,0)&amp;""</f>
        <v>No</v>
      </c>
      <c r="D70" s="34" t="str">
        <f>IF(LEFT(VLOOKUP($A70,Privacy!$A$13:$E$97,5,0),21)='Auto Responses'!$A$32,'Auto Responses'!$A$33,VLOOKUP($A70,Privacy!$A$13:$E$97,4,0))&amp;""</f>
        <v>Preservica does not combine institutional data, whether identifiable, de-identified or anonymised, with personal data from any other source. Content ingested by the institution is processed solely in Preservica's capacity as Processor, on the institution's documented instructions; it is not enriched from external datasets, not used for Preservica's own purposes, not used for product development, and not used to train or fine-tune any AI model.</v>
      </c>
      <c r="E70" s="326" t="str">
        <f>VLOOKUP($A70,Privacy!$A$13:$E$97,5,0)&amp;""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70" s="184"/>
      <c r="G70" s="30" t="str">
        <f>VLOOKUP($A70,Questions!$A$2:$X$333,21,0)&amp;""</f>
        <v>No</v>
      </c>
      <c r="H70" s="181"/>
      <c r="I70" s="45" t="str">
        <f>VLOOKUP($A70,Questions!$A$2:$X$333,23,0)&amp;""</f>
        <v>Critical Importance</v>
      </c>
      <c r="J70" s="181"/>
      <c r="K70" s="48" t="b">
        <v>0</v>
      </c>
      <c r="L70" s="1"/>
    </row>
    <row r="71" spans="1:12" s="29" customFormat="1" ht="409.5" x14ac:dyDescent="0.25">
      <c r="A71" s="19" t="s">
        <v>499</v>
      </c>
      <c r="B71" s="18" t="str">
        <f>VLOOKUP($A71,Questions!$A$2:$X$333,2,0)</f>
        <v>Is institutional data coming into or going out of the United States at any point during collection, processing, storage, or archiving?</v>
      </c>
      <c r="C71" s="45" t="str">
        <f>VLOOKUP($A71,Privacy!$A$13:$E$97,3,0)&amp;""</f>
        <v>Yes</v>
      </c>
      <c r="D71" s="34" t="str">
        <f>IF(LEFT(VLOOKUP($A71,Privacy!$A$13:$E$97,5,0),21)='Auto Responses'!$A$32,'Auto Responses'!$A$33,VLOOKUP($A71,Privacy!$A$13:$E$97,4,0))&amp;""</f>
        <v>Institutional data is stored and processed only within the geographic region specified in the Data Residency section of the institution's Order Form. This is a contractual and enforceable commitment: data is not moved, replicated or processed outside that region except where the institution explicitly instructs otherwise or where required by applicable law, and sub-processors are approved and used on a region-dependent basis consistent with that commitment. Where remote administrative or support access to an environment is required, it may be performed by authorised Preservica personnel based in the United Kingdom or the United States. Such access is not routine, is granted only through defined and limited paths, and is least-privilege, logged, auditable and subject to management oversight. Standard Contractual Clauses are available to cover any resulting international transfer.</v>
      </c>
      <c r="E71" s="326" t="str">
        <f>VLOOKUP($A71,Privacy!$A$13:$E$97,5,0)&amp;""</f>
        <v>Describe where and whether you comply with the laws of that jurisdiction.</v>
      </c>
      <c r="F71" s="184"/>
      <c r="G71" s="30" t="str">
        <f>VLOOKUP($A71,Questions!$A$2:$X$333,21,0)&amp;""</f>
        <v>No</v>
      </c>
      <c r="H71" s="181"/>
      <c r="I71" s="45" t="str">
        <f>VLOOKUP($A71,Questions!$A$2:$X$333,23,0)&amp;""</f>
        <v>Minor Importance</v>
      </c>
      <c r="J71" s="181"/>
      <c r="K71" s="48" t="b">
        <v>0</v>
      </c>
      <c r="L71" s="1"/>
    </row>
    <row r="72" spans="1:12" s="29" customFormat="1" ht="409.5" x14ac:dyDescent="0.25">
      <c r="A72" s="19" t="s">
        <v>501</v>
      </c>
      <c r="B72" s="18" t="str">
        <f>VLOOKUP($A72,Questions!$A$2:$X$333,2,0)</f>
        <v>Do you capture device information (e.g., IP address, MAC address)?</v>
      </c>
      <c r="C72" s="45" t="str">
        <f>VLOOKUP($A72,Privacy!$A$13:$E$97,3,0)&amp;""</f>
        <v>Yes</v>
      </c>
      <c r="D72" s="34" t="str">
        <f>IF(LEFT(VLOOKUP($A72,Privacy!$A$13:$E$97,5,0),21)='Auto Responses'!$A$32,'Auto Responses'!$A$33,VLOOKUP($A72,Privacy!$A$13:$E$97,4,0))&amp;""</f>
        <v>IP addresses are processed as an inherent part of delivering an internet-facing service: they are handled at the network and edge-security layer, including by the Web Application Firewall protecting Professional edition and above environments, and are present in the infrastructure logs Preservica collects and monitors for security purposes, which are retained for a minimum of 30 days. MAC addresses and other device hardware identifiers are not captured. Institutions that require access to be restricted by network location can enable IP allow-listing, which limits access to IP addresses the institution provides, together with Preservica's offices and Preservica's infrastructure monitoring platform.</v>
      </c>
      <c r="E72" s="326" t="str">
        <f>VLOOKUP($A72,Privacy!$A$13:$E$97,5,0)&amp;""</f>
        <v>Describe what information you collect and the reason for collecting it.</v>
      </c>
      <c r="F72" s="184"/>
      <c r="G72" s="30" t="str">
        <f>VLOOKUP($A72,Questions!$A$2:$X$333,21,0)&amp;""</f>
        <v>No</v>
      </c>
      <c r="H72" s="181"/>
      <c r="I72" s="45" t="str">
        <f>VLOOKUP($A72,Questions!$A$2:$X$333,23,0)&amp;""</f>
        <v>Minor Importance</v>
      </c>
      <c r="J72" s="181"/>
      <c r="K72" s="48" t="b">
        <v>0</v>
      </c>
      <c r="L72" s="1"/>
    </row>
    <row r="73" spans="1:12" s="29" customFormat="1" ht="409.5" x14ac:dyDescent="0.25">
      <c r="A73" s="19" t="s">
        <v>503</v>
      </c>
      <c r="B73" s="18" t="str">
        <f>VLOOKUP($A73,Questions!$A$2:$X$333,2,0)</f>
        <v>Does any part of this service/project involve a web/app tracking component (e.g., use of web-tracking pixels, cookies)?</v>
      </c>
      <c r="C73" s="45" t="str">
        <f>VLOOKUP($A73,Privacy!$A$13:$E$97,3,0)&amp;""</f>
        <v>Yes</v>
      </c>
      <c r="D73" s="34" t="str">
        <f>IF(LEFT(VLOOKUP($A73,Privacy!$A$13:$E$97,5,0),21)='Auto Responses'!$A$32,'Auto Responses'!$A$33,VLOOKUP($A73,Privacy!$A$13:$E$97,4,0))&amp;""</f>
        <v>Preservica collects aggregated telemetry on use of the service for product enhancement purposes. This telemetry does not contain personally identifiable information, and is collected only where the user has consented through the cookie banner presented on first visit, which offers both accept and reject options; where consent is declined, no telemetry is collected. Content ingested by the institution is never used for this purpose, and is not used to train or fine-tune any AI model. Separately, an institution may choose to implement its own web analytics within its Universal Access site or Portal; where it does so, that tracking is configured and controlled by the institution, and the institution is the controller of any data it collects through it.</v>
      </c>
      <c r="E73" s="326" t="str">
        <f>VLOOKUP($A73,Privacy!$A$13:$E$97,5,0)&amp;""</f>
        <v>Describe the tracking component and what is done with the information.</v>
      </c>
      <c r="F73" s="184"/>
      <c r="G73" s="30" t="str">
        <f>VLOOKUP($A73,Questions!$A$2:$X$333,21,0)&amp;""</f>
        <v>No</v>
      </c>
      <c r="H73" s="181"/>
      <c r="I73" s="45" t="str">
        <f>VLOOKUP($A73,Questions!$A$2:$X$333,23,0)&amp;""</f>
        <v>Minor Importance</v>
      </c>
      <c r="J73" s="181"/>
      <c r="K73" s="48" t="b">
        <v>0</v>
      </c>
      <c r="L73" s="1"/>
    </row>
    <row r="74" spans="1:12" s="29" customFormat="1" ht="409.5" x14ac:dyDescent="0.25">
      <c r="A74" s="19" t="s">
        <v>505</v>
      </c>
      <c r="B74" s="18" t="str">
        <f>VLOOKUP($A74,Questions!$A$2:$X$333,2,0)</f>
        <v>Does your staff (or a third party) have access to institutional data (e.g., financial, PHI, or other sensitive information) through any means?</v>
      </c>
      <c r="C74" s="45" t="str">
        <f>VLOOKUP($A74,Privacy!$A$13:$E$97,3,0)&amp;""</f>
        <v>Yes</v>
      </c>
      <c r="D74" s="34" t="str">
        <f>IF(LEFT(VLOOKUP($A74,Privacy!$A$13:$E$97,5,0),21)='Auto Responses'!$A$32,'Auto Responses'!$A$33,VLOOKUP($A74,Privacy!$A$13:$E$97,4,0))&amp;""</f>
        <v>Preservica staff do not have routine or standing access to institutional data. Access can occur only through the following limited and controlled paths. (1) Customer Support may access an environment only in response to a support ticket raised by the institution and only where the institution has explicitly approved that access on the ticket; access is via a support user created in the tenancy's application directory, which is intentionally visible to the institution for transparency, is removed when the need ends, and can be revoked by the institution at any time. (2) Professional Services engagements of extended duration may require ongoing access, granted by the institution at the start of the engagement and provisioned either in the tenancy's local directory or, where the institution uses single sign-on, by the institution in its own identity provider. (3) Access under a binding order of a competent authority, subject to sign-off by Preservica's Legal team. (4) Access to prevent damage or loss in the event of an imminent security threat, with the approval of the Chief Information Security Officer or Legal. (5) As administrators of the underlying SaaS infrastructure, Preservica's Cloud Operations team hold infrastructure-level privileges that carry administrative capability outside the application layer; all such access is logged to Preservica's security monitoring platform and is subject to need-to-know controls, monitoring and audit. In every case access is least-privilege, logged, auditable and subject to management oversight. Access rights are granted on least-privilege and need-to-know principles, reviewed at least every six months and on role change or termination, and removed when the business need ceases; for systems containing sensitive regulated information, access is terminated immediately on the institution's request. All staff are screened before employment, including identity, right-to-work, reference, credit, sanction and director checks, with annual criminal background checks for staff in Customer Support, Operations, Information Security and Finance. Sub-processor access is limited to AWS or Microsoft Azure as specified in the Order Form, and Cloudflare for Professional edition and above; critical suppliers' independent certifications and attestations are reviewed at least annually.</v>
      </c>
      <c r="E74" s="326" t="str">
        <f>VLOOKUP($A74,Privacy!$A$13:$E$97,5,0)&amp;""</f>
        <v>Summarize the access that staff (or third parties) have to institutional data.</v>
      </c>
      <c r="F74" s="184"/>
      <c r="G74" s="30" t="str">
        <f>VLOOKUP($A74,Questions!$A$2:$X$333,21,0)&amp;""</f>
        <v>No</v>
      </c>
      <c r="H74" s="181"/>
      <c r="I74" s="45" t="str">
        <f>VLOOKUP($A74,Questions!$A$2:$X$333,23,0)&amp;""</f>
        <v>Minor Importance</v>
      </c>
      <c r="J74" s="181"/>
      <c r="K74" s="48" t="b">
        <v>0</v>
      </c>
      <c r="L74" s="1"/>
    </row>
    <row r="75" spans="1:12" s="29" customFormat="1" ht="409.5" x14ac:dyDescent="0.25">
      <c r="A75" s="19" t="s">
        <v>507</v>
      </c>
      <c r="B75" s="18" t="str">
        <f>VLOOKUP($A75,Questions!$A$2:$X$333,2,0)</f>
        <v>Will you handle personal data in a manner compliant with all relevant laws, regulations, and applicable institution policies?</v>
      </c>
      <c r="C75" s="45" t="str">
        <f>VLOOKUP($A75,Privacy!$A$13:$E$97,3,0)&amp;""</f>
        <v>Yes</v>
      </c>
      <c r="D75" s="34" t="str">
        <f>IF(LEFT(VLOOKUP($A75,Privacy!$A$13:$E$97,5,0),21)='Auto Responses'!$A$32,'Auto Responses'!$A$33,VLOOKUP($A75,Privacy!$A$13:$E$97,4,0))&amp;""</f>
        <v>Preservica handles personal data in accordance with applicable data protection law, its published Privacy Policy and GDPR Policy, and the terms of its agreement with the institution, processing content ingested by the institution solely as Processor and on the institution's documented instructions. Responsibilities are divided under Preservica's Shared Responsibility Model, published at https://website-assets.preservica.com/production/resources/Shared-Responsibility-Model-Global-v1.1.pdf: Preservica is responsible for the security of the platform and its infrastructure, encryption of data in transit and at rest, breach notification, and the tools through which the institution manages users, roles and permissions; the institution is responsible for understanding the regulatory and compliance requirements of the data it ingests, ingesting only permitted data, and configuring roles and access controls in line with its own policies. Preservica's controls are independently assured through ISO/IEC 27001:2022 certification and an annual SOC 2 Type II audit.</v>
      </c>
      <c r="E75" s="326" t="str">
        <f>VLOOKUP($A75,Privacy!$A$13:$E$97,5,0)&amp;""</f>
        <v/>
      </c>
      <c r="F75" s="184"/>
      <c r="G75" s="30" t="str">
        <f>VLOOKUP($A75,Questions!$A$2:$X$333,21,0)&amp;""</f>
        <v>Not scored</v>
      </c>
      <c r="H75" s="181"/>
      <c r="I75" s="45" t="str">
        <f>VLOOKUP($A75,Questions!$A$2:$X$333,23,0)&amp;""</f>
        <v/>
      </c>
      <c r="J75" s="181"/>
      <c r="K75" s="48" t="b">
        <v>0</v>
      </c>
      <c r="L75" s="1"/>
    </row>
    <row r="76" spans="1:12" s="1" customFormat="1" ht="17.5" x14ac:dyDescent="0.25">
      <c r="A76" s="63" t="str">
        <f>VLOOKUP(LEFT($A77,4),'Auto Responses'!$N$4:$O$38,2,0)&amp;""</f>
        <v xml:space="preserve"> Privacy Policies and Procedures</v>
      </c>
      <c r="B76" s="22"/>
      <c r="C76" s="31"/>
      <c r="D76" s="31"/>
      <c r="E76" s="327"/>
      <c r="F76" s="129" t="s">
        <v>632</v>
      </c>
      <c r="G76" s="331" t="s">
        <v>627</v>
      </c>
      <c r="H76" s="331" t="s">
        <v>628</v>
      </c>
      <c r="I76" s="331" t="s">
        <v>629</v>
      </c>
      <c r="J76" s="331" t="s">
        <v>630</v>
      </c>
      <c r="K76" s="31"/>
    </row>
    <row r="77" spans="1:12" s="29" customFormat="1" ht="409.5" x14ac:dyDescent="0.25">
      <c r="A77" s="19" t="s">
        <v>509</v>
      </c>
      <c r="B77" s="18" t="str">
        <f>VLOOKUP($A77,Questions!$A$2:$X$333,2,0)</f>
        <v>Do you have a documented privacy management process?</v>
      </c>
      <c r="C77" s="45" t="str">
        <f>VLOOKUP($A77,Privacy!$A$13:$E$97,3,0)&amp;""</f>
        <v>Yes</v>
      </c>
      <c r="D77" s="34" t="str">
        <f>IF(LEFT(VLOOKUP($A77,Privacy!$A$13:$E$97,5,0),21)='Auto Responses'!$A$32,'Auto Responses'!$A$33,VLOOKUP($A77,Privacy!$A$13:$E$97,4,0))&amp;""</f>
        <v>Preservica acts as Processor in respect of all content an institution ingests, processing it only to deliver the contracted service and on the institution's documented instructions. Preservica acts as Controller only for the limited personal data required to manage the commercial relationship with the institution, for personal data processed in the course of security and service monitoring of the platform and any monitoring of Client Data required by law, and for personal data used to monitor, review, improve and develop Preservica's own performance, products and services. Preservica maintains a published Privacy Policy and GDPR Policy, available via the Trust Center at https://preservica.com/trust-center. A Data Protection Officer is appointed, contactable at Privacy@preservica.com. Preservica maintains a Record of Processing Activities covering the processing for which it is Controller, and established Data Protection Impact Assessment templates and processes. Privacy sits within Preservica's wider policy framework, which includes a Privacy and Personally Identifiable Information policy and an Incident Management Policy covering personal data breach handling; every policy has an assigned Owner and Approver and is reviewed at least annually, on material change in the environment, or following an incident. All staff complete mandatory security and privacy awareness training on onboarding and at intervals not exceeding annually.</v>
      </c>
      <c r="E77" s="326" t="str">
        <f>VLOOKUP($A77,Privacy!$A$13:$E$97,5,0)&amp;""</f>
        <v>Describe privacy management process or provide links or attach documentation.</v>
      </c>
      <c r="F77" s="184"/>
      <c r="G77" s="30" t="str">
        <f>VLOOKUP($A77,Questions!$A$2:$X$333,21,0)&amp;""</f>
        <v>Yes</v>
      </c>
      <c r="H77" s="181"/>
      <c r="I77" s="45" t="str">
        <f>VLOOKUP($A77,Questions!$A$2:$X$333,23,0)&amp;""</f>
        <v>Minor Importance</v>
      </c>
      <c r="J77" s="181"/>
      <c r="K77" s="48" t="b">
        <v>0</v>
      </c>
      <c r="L77" s="1"/>
    </row>
    <row r="78" spans="1:12" s="29" customFormat="1" ht="409.5" x14ac:dyDescent="0.25">
      <c r="A78" s="19" t="s">
        <v>511</v>
      </c>
      <c r="B78" s="18" t="str">
        <f>VLOOKUP($A78,Questions!$A$2:$X$333,2,0)</f>
        <v>Are privacy principles designed into the product lifecycle (i.e., privacy-by-design)?</v>
      </c>
      <c r="C78" s="45" t="str">
        <f>VLOOKUP($A78,Privacy!$A$13:$E$97,3,0)&amp;""</f>
        <v>Yes</v>
      </c>
      <c r="D78" s="34" t="str">
        <f>IF(LEFT(VLOOKUP($A78,Privacy!$A$13:$E$97,5,0),21)='Auto Responses'!$A$32,'Auto Responses'!$A$33,VLOOKUP($A78,Privacy!$A$13:$E$97,4,0))&amp;""</f>
        <v>Privacy by design is a principle of Preservica's Secure Development Policy, which sets mandatory standards and controls across requirements specification, system design, development, testing and deployment. In practice this means: the institution determines what content enters the platform, and Preservica neither prescribes nor inspects it; data is encrypted in transit and at rest using AES-256, with key management provided by the hosting cloud service provider and unique keys for customers on dedicated infrastructure; customer content is always stored at rest in customer-specific storage containers, with dedicated processing infrastructure available at Enterprise Plus and above; access control is granular, allowing institutions to define custom roles and to scope permissions for both predefined and custom roles to specific content using Security Tags, so access control follows the institution's own classification scheme; AI capabilities are disabled by default and require explicit activation, with outputs presented for human review; and customer production data is not used in Preservica's development or test environments. System designs are peer-reviewed at regular Technical Review meetings attended by DevOps and Operations personnel, senior engineers and a representative from Information Security.</v>
      </c>
      <c r="E78" s="326" t="str">
        <f>VLOOKUP($A78,Privacy!$A$13:$E$97,5,0)&amp;""</f>
        <v>Summarize the privacy principles designed into the product lifecycle.</v>
      </c>
      <c r="F78" s="184"/>
      <c r="G78" s="30" t="str">
        <f>VLOOKUP($A78,Questions!$A$2:$X$333,21,0)&amp;""</f>
        <v>Yes</v>
      </c>
      <c r="H78" s="181"/>
      <c r="I78" s="45" t="str">
        <f>VLOOKUP($A78,Questions!$A$2:$X$333,23,0)&amp;""</f>
        <v>Minor Importance</v>
      </c>
      <c r="J78" s="181"/>
      <c r="K78" s="48" t="b">
        <v>0</v>
      </c>
      <c r="L78" s="1"/>
    </row>
    <row r="79" spans="1:12" s="29" customFormat="1" ht="409.5" x14ac:dyDescent="0.25">
      <c r="A79" s="19" t="s">
        <v>513</v>
      </c>
      <c r="B79" s="18" t="str">
        <f>VLOOKUP($A79,Questions!$A$2:$X$333,2,0)</f>
        <v>Will you comply with applicable breach notification laws?</v>
      </c>
      <c r="C79" s="45" t="str">
        <f>VLOOKUP($A79,Privacy!$A$13:$E$97,3,0)&amp;""</f>
        <v>Yes</v>
      </c>
      <c r="D79" s="34" t="str">
        <f>IF(LEFT(VLOOKUP($A79,Privacy!$A$13:$E$97,5,0),21)='Auto Responses'!$A$32,'Auto Responses'!$A$33,VLOOKUP($A79,Privacy!$A$13:$E$97,4,0))&amp;""</f>
        <v>Under Preservica's standard Terms and Conditions, in the event of a confirmed data breach Preservica will, where legally permitted: for Enterprise editions and above, promptly inform the institution within 24 hours including any relevant details, manage the incident through to resolution in consultation with the institution and Preservica's advisors, and provide regular updates; for Professional and Professional Plus, promptly inform the institution within 48 hours, manage the incident through to resolution in consultation with Preservica's advisors, and provide regular updates; and for Starter Plus, promptly inform the institution within 48 hours and manage the incident through to resolution in consultation with Preservica's advisors. Preservica will comply with applicable breach notification laws, including notification to the relevant supervisory or governmental authorities where required; where an incident has affected or is likely to have affected personal data, Preservica's Data Protection Officer advises on assessment, containment and notification.</v>
      </c>
      <c r="E79" s="326" t="str">
        <f>VLOOKUP($A79,Privacy!$A$13:$E$97,5,0)&amp;""</f>
        <v>State how quickly the institution will be notified once a breach is identified, in addition to notifying the necessary governmental agencies based on the extent of the breach.</v>
      </c>
      <c r="F79" s="184"/>
      <c r="G79" s="30" t="str">
        <f>VLOOKUP($A79,Questions!$A$2:$X$333,21,0)&amp;""</f>
        <v>Yes</v>
      </c>
      <c r="H79" s="181"/>
      <c r="I79" s="45" t="str">
        <f>VLOOKUP($A79,Questions!$A$2:$X$333,23,0)&amp;""</f>
        <v>Standard Importance</v>
      </c>
      <c r="J79" s="181"/>
      <c r="K79" s="48" t="b">
        <v>0</v>
      </c>
      <c r="L79" s="1"/>
    </row>
    <row r="80" spans="1:12" s="29" customFormat="1" ht="409.5" x14ac:dyDescent="0.25">
      <c r="A80" s="19" t="s">
        <v>514</v>
      </c>
      <c r="B80" s="18" t="str">
        <f>VLOOKUP($A80,Questions!$A$2:$X$333,2,0)</f>
        <v>Will you comply with the institution's policies regarding user privacy and data protection?</v>
      </c>
      <c r="C80" s="45" t="str">
        <f>VLOOKUP($A80,Privacy!$A$13:$E$97,3,0)&amp;""</f>
        <v>Yes</v>
      </c>
      <c r="D80" s="34" t="str">
        <f>IF(LEFT(VLOOKUP($A80,Privacy!$A$13:$E$97,5,0),21)='Auto Responses'!$A$32,'Auto Responses'!$A$33,VLOOKUP($A80,Privacy!$A$13:$E$97,4,0))&amp;""</f>
        <v>Preservica processes content ingested by the institution as Processor, on the institution's documented instructions, and will give effect to the institution's privacy and data protection requirements through the contract. Preservica will enter into a Data Processing Agreement provided by the institution, subject to legal review and negotiation; agreements based on UK GDPR or EU GDPR Standard Contractual Clauses or similar recognised frameworks are the most straightforward to conclude. Because Preservica does not determine or control the specific categories of personal data an institution chooses to process, completing the sections of a Data Processing Agreement that require exact categories of data, data subjects and processing activities is normally a collaborative exercise between the institution and Preservica. Institution-specific policy requirements that bear on how the service is delivered to that institution are addressed as part of contract negotiation.</v>
      </c>
      <c r="E80" s="326" t="str">
        <f>VLOOKUP($A80,Privacy!$A$13:$E$97,5,0)&amp;""</f>
        <v/>
      </c>
      <c r="F80" s="184"/>
      <c r="G80" s="30" t="str">
        <f>VLOOKUP($A80,Questions!$A$2:$X$333,21,0)&amp;""</f>
        <v>Yes</v>
      </c>
      <c r="H80" s="181"/>
      <c r="I80" s="45" t="str">
        <f>VLOOKUP($A80,Questions!$A$2:$X$333,23,0)&amp;""</f>
        <v>Minor Importance</v>
      </c>
      <c r="J80" s="181"/>
      <c r="K80" s="48" t="b">
        <v>0</v>
      </c>
      <c r="L80" s="1"/>
    </row>
    <row r="81" spans="1:12" s="29" customFormat="1" ht="255" x14ac:dyDescent="0.25">
      <c r="A81" s="19" t="s">
        <v>516</v>
      </c>
      <c r="B81" s="18" t="str">
        <f>VLOOKUP($A81,Questions!$A$2:$X$333,2,0)</f>
        <v>Is your company subject to the laws and regulations of the institution's geographic region?</v>
      </c>
      <c r="C81" s="45" t="str">
        <f>VLOOKUP($A81,Privacy!$A$13:$E$97,3,0)&amp;""</f>
        <v>Yes</v>
      </c>
      <c r="D81" s="34" t="str">
        <f>IF(LEFT(VLOOKUP($A81,Privacy!$A$13:$E$97,5,0),21)='Auto Responses'!$A$32,'Auto Responses'!$A$33,VLOOKUP($A81,Privacy!$A$13:$E$97,4,0))&amp;""</f>
        <v>Preservica operates in the United Kingdom and the United States and complies with applicable law in the jurisdictions in which it operates and contracts. Institutional data is stored and processed only within the geographic region specified in the Data Residency section of the institution's Order Form, as a contractual and enforceable commitment.</v>
      </c>
      <c r="E81" s="326" t="str">
        <f>VLOOKUP($A81,Privacy!$A$13:$E$97,5,0)&amp;""</f>
        <v/>
      </c>
      <c r="F81" s="184"/>
      <c r="G81" s="30" t="str">
        <f>VLOOKUP($A81,Questions!$A$2:$X$333,21,0)&amp;""</f>
        <v>Yes</v>
      </c>
      <c r="H81" s="181"/>
      <c r="I81" s="45" t="str">
        <f>VLOOKUP($A81,Questions!$A$2:$X$333,23,0)&amp;""</f>
        <v>Minor Importance</v>
      </c>
      <c r="J81" s="181"/>
      <c r="K81" s="48" t="b">
        <v>0</v>
      </c>
      <c r="L81" s="1"/>
    </row>
    <row r="82" spans="1:12" s="29" customFormat="1" ht="409.5" x14ac:dyDescent="0.25">
      <c r="A82" s="19" t="s">
        <v>518</v>
      </c>
      <c r="B82" s="18" t="str">
        <f>VLOOKUP($A82,Questions!$A$2:$X$333,2,0)</f>
        <v>Do you have a privacy awareness/training program?*</v>
      </c>
      <c r="C82" s="45" t="str">
        <f>VLOOKUP($A82,Privacy!$A$13:$E$97,3,0)&amp;""</f>
        <v>Yes</v>
      </c>
      <c r="D82" s="34" t="str">
        <f>IF(LEFT(VLOOKUP($A82,Privacy!$A$13:$E$97,5,0),21)='Auto Responses'!$A$32,'Auto Responses'!$A$33,VLOOKUP($A82,Privacy!$A$13:$E$97,4,0))&amp;""</f>
        <v>Preservica operates a documented security and privacy awareness training programme. It applies to all Preservica staff, temporary staff, consultants and third parties with access to Preservica information, customer information, or the facilities, technologies and services used to process that information. Content includes data classification and secure disposal; the secure handling, transmission, storage, retention and disposal of sensitive customer information; recognition and reporting of phishing, social engineering, credential harvesting and business email compromise; password and information handling practice; acceptable use of company resources; and incident and breach reporting procedures. Privileged users and staff with access to customer data receive additional role-specific training on their responsibilities and applicable compliance requirements.</v>
      </c>
      <c r="E82" s="326" t="str">
        <f>VLOOKUP($A82,Privacy!$A$13:$E$97,5,0)&amp;""</f>
        <v>Briefly describe what is included in the training.</v>
      </c>
      <c r="F82" s="184"/>
      <c r="G82" s="30" t="str">
        <f>VLOOKUP($A82,Questions!$A$2:$X$333,21,0)&amp;""</f>
        <v>Yes</v>
      </c>
      <c r="H82" s="181"/>
      <c r="I82" s="45" t="str">
        <f>VLOOKUP($A82,Questions!$A$2:$X$333,23,0)&amp;""</f>
        <v>Critical Importance</v>
      </c>
      <c r="J82" s="181"/>
      <c r="K82" s="48" t="b">
        <v>0</v>
      </c>
      <c r="L82" s="1"/>
    </row>
    <row r="83" spans="1:12" s="29" customFormat="1" ht="409.5" x14ac:dyDescent="0.25">
      <c r="A83" s="19" t="s">
        <v>520</v>
      </c>
      <c r="B83" s="18" t="str">
        <f>VLOOKUP($A83,Questions!$A$2:$X$333,2,0)</f>
        <v>Is privacy awareness training mandatory for all employees?</v>
      </c>
      <c r="C83" s="45" t="str">
        <f>VLOOKUP($A83,Privacy!$A$13:$E$97,3,0)&amp;""</f>
        <v>Yes</v>
      </c>
      <c r="D83" s="34" t="str">
        <f>IF(LEFT(VLOOKUP($A83,Privacy!$A$13:$E$97,5,0),21)='Auto Responses'!$A$32,'Auto Responses'!$A$33,VLOOKUP($A83,Privacy!$A$13:$E$97,4,0))&amp;""</f>
        <v>Security and privacy awareness training is mandatory. All staff, temporary staff, consultants and in-scope third parties must complete it during onboarding and thereafter at intervals not exceeding annually, with additional ad hoc training following significant security incidents or threats, or material regulatory, policy or technology changes. Content includes data classification and secure disposal, the secure handling, transmission, storage, retention and disposal of sensitive customer information, phishing and social engineering recognition and reporting, acceptable use, and incident and breach reporting procedures. Third parties and consultants are required, through contractual or equivalent means, to have training equal to or greater than that required of Preservica's own staff, and are enrolled in Preservica's own programme where suitable training cannot be verified. All employees must also read and acknowledge core policies on hire and annually thereafter. Non-compliance with policy is subject to sanctions defined in the policy concerned, proportionate to the impact of the breach, up to and including termination.</v>
      </c>
      <c r="E83" s="326" t="str">
        <f>VLOOKUP($A83,Privacy!$A$13:$E$97,5,0)&amp;""</f>
        <v>Your response should include who must complete the training.</v>
      </c>
      <c r="F83" s="184"/>
      <c r="G83" s="30" t="str">
        <f>VLOOKUP($A83,Questions!$A$2:$X$333,21,0)&amp;""</f>
        <v>Yes</v>
      </c>
      <c r="H83" s="181"/>
      <c r="I83" s="45" t="str">
        <f>VLOOKUP($A83,Questions!$A$2:$X$333,23,0)&amp;""</f>
        <v>Minor Importance</v>
      </c>
      <c r="J83" s="181"/>
      <c r="K83" s="48" t="b">
        <v>0</v>
      </c>
      <c r="L83" s="1"/>
    </row>
    <row r="84" spans="1:12" s="29" customFormat="1" ht="409.5" x14ac:dyDescent="0.25">
      <c r="A84" s="19" t="s">
        <v>522</v>
      </c>
      <c r="B84" s="18" t="str">
        <f>VLOOKUP($A84,Questions!$A$2:$X$333,2,0)</f>
        <v>Is AI privacy and ethics awareness/training required for all employees who work with AI?</v>
      </c>
      <c r="C84" s="45" t="str">
        <f>VLOOKUP($A84,Privacy!$A$13:$E$97,3,0)&amp;""</f>
        <v>Yes</v>
      </c>
      <c r="D84" s="34" t="str">
        <f>IF(LEFT(VLOOKUP($A84,Privacy!$A$13:$E$97,5,0),21)='Auto Responses'!$A$32,'Auto Responses'!$A$33,VLOOKUP($A84,Privacy!$A$13:$E$97,4,0))&amp;""</f>
        <v>Preservica provides role-aligned AI training covering AI awareness and literacy, responsible use, information security, and data protection obligations, delivered as part of the wider security and compliance training programme. Preservica maintains an AI policy within its information security policy framework. Preservica acts as a Deployer rather than a Provider of AI systems under Regulation (EU) 2024/1689, selecting and integrating models for defined low-risk use cases, applying safeguards, ensuring staff AI literacy, and maintaining human oversight of outputs.</v>
      </c>
      <c r="E84" s="326" t="str">
        <f>VLOOKUP($A84,Privacy!$A$13:$E$97,5,0)&amp;""</f>
        <v>Briefly describe what is included in the training.</v>
      </c>
      <c r="F84" s="184"/>
      <c r="G84" s="30" t="str">
        <f>VLOOKUP($A84,Questions!$A$2:$X$333,21,0)&amp;""</f>
        <v>Yes</v>
      </c>
      <c r="H84" s="181"/>
      <c r="I84" s="45" t="str">
        <f>VLOOKUP($A84,Questions!$A$2:$X$333,23,0)&amp;""</f>
        <v>Minor Importance</v>
      </c>
      <c r="J84" s="181"/>
      <c r="K84" s="48" t="b">
        <v>0</v>
      </c>
      <c r="L84" s="1"/>
    </row>
    <row r="85" spans="1:12" s="29" customFormat="1" ht="315" x14ac:dyDescent="0.25">
      <c r="A85" s="19" t="s">
        <v>524</v>
      </c>
      <c r="B85" s="18" t="str">
        <f>VLOOKUP($A85,Questions!$A$2:$X$333,2,0)</f>
        <v>Do you have any decision-making processes that are completely automated (i.e., there is no human involvement)?</v>
      </c>
      <c r="C85" s="45" t="str">
        <f>VLOOKUP($A85,Privacy!$A$13:$E$97,3,0)&amp;""</f>
        <v>No</v>
      </c>
      <c r="D85" s="34" t="str">
        <f>IF(LEFT(VLOOKUP($A85,Privacy!$A$13:$E$97,5,0),21)='Auto Responses'!$A$32,'Auto Responses'!$A$33,VLOOKUP($A85,Privacy!$A$13:$E$97,4,0))&amp;""</f>
        <v>Preservica operates no fully automated decision-making processes affecting individuals. Where the platform's optional AI capabilities are enabled, outputs are presented for human review rather than acted upon autonomously, and the institution determines how those outputs are used. Preservica maintains human oversight of AI outputs as a matter of policy, and AI capabilities are restricted to clearly defined use cases.</v>
      </c>
      <c r="E85" s="326" t="str">
        <f>VLOOKUP($A85,Privacy!$A$13:$E$97,5,0)&amp;""</f>
        <v>Examples of such automated decisions could include automatically denying or approving user access requests, flagging or blocking transactions based on risk scores, or AI-driven decisions that affect user outcomes (e.g., eligibility, grading, pricing).</v>
      </c>
      <c r="F85" s="184"/>
      <c r="G85" s="30" t="str">
        <f>VLOOKUP($A85,Questions!$A$2:$X$333,21,0)&amp;""</f>
        <v>No</v>
      </c>
      <c r="H85" s="181"/>
      <c r="I85" s="45" t="str">
        <f>VLOOKUP($A85,Questions!$A$2:$X$333,23,0)&amp;""</f>
        <v>Minor Importance</v>
      </c>
      <c r="J85" s="181"/>
      <c r="K85" s="48" t="b">
        <v>0</v>
      </c>
      <c r="L85" s="1"/>
    </row>
    <row r="86" spans="1:12" s="29" customFormat="1" ht="409.5" x14ac:dyDescent="0.25">
      <c r="A86" s="19" t="s">
        <v>526</v>
      </c>
      <c r="B86" s="18" t="str">
        <f>VLOOKUP($A86,Questions!$A$2:$X$333,2,0)</f>
        <v>Do you have a documented process for managing automated processing, including validations, monitoring, and data subject requests?</v>
      </c>
      <c r="C86" s="45" t="str">
        <f>VLOOKUP($A86,Privacy!$A$13:$E$97,3,0)&amp;""</f>
        <v>Yes</v>
      </c>
      <c r="D86" s="34" t="str">
        <f>IF(LEFT(VLOOKUP($A86,Privacy!$A$13:$E$97,5,0),21)='Auto Responses'!$A$32,'Auto Responses'!$A$33,VLOOKUP($A86,Privacy!$A$13:$E$97,4,0))&amp;""</f>
        <v>Preservica operates no fully automated decision-making processes affecting individuals, so a management process specific to automated processing does not apply. Where the platform's optional AI capabilities are enabled, outputs are presented for human review rather than acted upon autonomously; AI capabilities are limited to clearly defined use cases, are disabled by default, can be restricted to authorised users, and remain under human oversight. Enquiries and requests relating to personal data may be directed to Privacy@preservica.com.</v>
      </c>
      <c r="E86" s="326" t="str">
        <f>VLOOKUP($A86,Privacy!$A$13:$E$97,5,0)&amp;""</f>
        <v>Briefly describe processes.</v>
      </c>
      <c r="F86" s="184"/>
      <c r="G86" s="30" t="str">
        <f>VLOOKUP($A86,Questions!$A$2:$X$333,21,0)&amp;""</f>
        <v>Yes</v>
      </c>
      <c r="H86" s="181"/>
      <c r="I86" s="45" t="str">
        <f>VLOOKUP($A86,Questions!$A$2:$X$333,23,0)&amp;""</f>
        <v>Minor Importance</v>
      </c>
      <c r="J86" s="181"/>
      <c r="K86" s="48" t="b">
        <v>0</v>
      </c>
      <c r="L86" s="1"/>
    </row>
    <row r="87" spans="1:12" s="29" customFormat="1" ht="409.5" x14ac:dyDescent="0.25">
      <c r="A87" s="19" t="s">
        <v>528</v>
      </c>
      <c r="B87" s="18" t="str">
        <f>VLOOKUP($A87,Questions!$A$2:$X$333,2,0)</f>
        <v>Do you have a documented policy for sharing information with law enforcement?</v>
      </c>
      <c r="C87" s="45" t="str">
        <f>VLOOKUP($A87,Privacy!$A$13:$E$97,3,0)&amp;""</f>
        <v>Yes</v>
      </c>
      <c r="D87" s="34" t="str">
        <f>IF(LEFT(VLOOKUP($A87,Privacy!$A$13:$E$97,5,0),21)='Auto Responses'!$A$32,'Auto Responses'!$A$33,VLOOKUP($A87,Privacy!$A$13:$E$97,4,0))&amp;""</f>
        <v>Preservica's position on disclosure to law enforcement and other authorities is set out in its standard Terms and Conditions and supported by internal policy. Preservica does not provide governments or law enforcement with direct or unfettered access to institutional data. Any request must be legally valid and binding, is assessed case by case, and any resulting access requires sign-off by Preservica's Legal team. Disclosures, where required, are limited to the specific data identified in the valid legal order. Where Preservica is served with a court order or legal notification concerning institutional data, Preservica will, to the extent legally permitted, notify the institution and ask it to review the affected data and comply with the order. Where Preservica is not legally permitted to give prior notice, it will, to the extent permitted by law, subsequently inform the institution of the action taken, the reasons, and the details of the order. Where an institution is subject to freedom of information legislation, the institution remains solely responsible for responding to requests relating to its own data; Preservica will assist on the institution's written request, keeps such requests confidential, will not disclose institutional data without the institution's written consent unless required by law, and forwards any request it receives to the institution promptly and within 10 working days where possible.</v>
      </c>
      <c r="E87" s="326" t="str">
        <f>VLOOKUP($A87,Privacy!$A$13:$E$97,5,0)&amp;""</f>
        <v>Provide a high-level overview of the policy or plans to implement a policy.</v>
      </c>
      <c r="F87" s="184"/>
      <c r="G87" s="30" t="str">
        <f>VLOOKUP($A87,Questions!$A$2:$X$333,21,0)&amp;""</f>
        <v>Yes</v>
      </c>
      <c r="H87" s="181"/>
      <c r="I87" s="45" t="str">
        <f>VLOOKUP($A87,Questions!$A$2:$X$333,23,0)&amp;""</f>
        <v>Minor Importance</v>
      </c>
      <c r="J87" s="181"/>
      <c r="K87" s="48" t="b">
        <v>0</v>
      </c>
      <c r="L87" s="1"/>
    </row>
    <row r="88" spans="1:12" s="29" customFormat="1" ht="375" x14ac:dyDescent="0.25">
      <c r="A88" s="19" t="s">
        <v>530</v>
      </c>
      <c r="B88" s="18" t="str">
        <f>VLOOKUP($A88,Questions!$A$2:$X$333,2,0)</f>
        <v>Do you share any institutional data with law enforcement without a valid warrant or subpoena?*</v>
      </c>
      <c r="C88" s="45" t="str">
        <f>VLOOKUP($A88,Privacy!$A$13:$E$97,3,0)&amp;""</f>
        <v>No</v>
      </c>
      <c r="D88" s="34" t="str">
        <f>IF(LEFT(VLOOKUP($A88,Privacy!$A$13:$E$97,5,0),21)='Auto Responses'!$A$32,'Auto Responses'!$A$33,VLOOKUP($A88,Privacy!$A$13:$E$97,4,0))&amp;""</f>
        <v>Preservica does not disclose institutional data to law enforcement absent a legally valid and binding order. Preservica does not provide governments or law enforcement with direct or unfettered access to institutional data; each request is assessed case by case, any resulting access to institutional data requires sign-off by Preservica's Legal team, and disclosure is limited to the specific data identified in the order. Where legally permitted, Preservica seeks to notify the affected institution.</v>
      </c>
      <c r="E88" s="326" t="str">
        <f>VLOOKUP($A88,Privacy!$A$13:$E$97,5,0)&amp;""</f>
        <v>Describe how you ensure this does not occur.</v>
      </c>
      <c r="F88" s="184"/>
      <c r="G88" s="30" t="str">
        <f>VLOOKUP($A88,Questions!$A$2:$X$333,21,0)&amp;""</f>
        <v>No</v>
      </c>
      <c r="H88" s="181"/>
      <c r="I88" s="45" t="str">
        <f>VLOOKUP($A88,Questions!$A$2:$X$333,23,0)&amp;""</f>
        <v>Critical Importance</v>
      </c>
      <c r="J88" s="181"/>
      <c r="K88" s="48" t="b">
        <v>0</v>
      </c>
      <c r="L88" s="1"/>
    </row>
    <row r="89" spans="1:12" s="29" customFormat="1" ht="409.5" x14ac:dyDescent="0.25">
      <c r="A89" s="19" t="s">
        <v>532</v>
      </c>
      <c r="B89" s="18" t="str">
        <f>VLOOKUP($A89,Questions!$A$2:$X$333,2,0)</f>
        <v>Does your incident response team include a privacy analyst/officer?</v>
      </c>
      <c r="C89" s="45" t="str">
        <f>VLOOKUP($A89,Privacy!$A$13:$E$97,3,0)&amp;""</f>
        <v>Yes</v>
      </c>
      <c r="D89" s="34" t="str">
        <f>IF(LEFT(VLOOKUP($A89,Privacy!$A$13:$E$97,5,0),21)='Auto Responses'!$A$32,'Auto Responses'!$A$33,VLOOKUP($A89,Privacy!$A$13:$E$97,4,0))&amp;""</f>
        <v>Where an incident has affected, or is likely to have affected, personal data, Preservica's Data Protection Officer is engaged as part of the incident escalation path and advises on assessment, containment and notification. The Chief Information Security Officer has overall responsibility for incident response. Incidents are classified by severity with defined internal notification and escalation paths, documented with root cause analysis, and reviewed in a lessons-learned exercise within seven days of recovery, with findings from exercises and actual incidents presented to the Leadership Team. The Data Protection Officer is contactable at Privacy@preservica.com.</v>
      </c>
      <c r="E89" s="326" t="str">
        <f>VLOOKUP($A89,Privacy!$A$13:$E$97,5,0)&amp;""</f>
        <v>Provide the incident response team membership and charge.</v>
      </c>
      <c r="F89" s="184"/>
      <c r="G89" s="30" t="str">
        <f>VLOOKUP($A89,Questions!$A$2:$X$333,21,0)&amp;""</f>
        <v>Yes</v>
      </c>
      <c r="H89" s="181"/>
      <c r="I89" s="45" t="str">
        <f>VLOOKUP($A89,Questions!$A$2:$X$333,23,0)&amp;""</f>
        <v>Minor Importance</v>
      </c>
      <c r="J89" s="181"/>
      <c r="K89" s="48" t="b">
        <v>0</v>
      </c>
      <c r="L89" s="1"/>
    </row>
    <row r="90" spans="1:12" s="1" customFormat="1" ht="17.5" x14ac:dyDescent="0.25">
      <c r="A90" s="63" t="str">
        <f>VLOOKUP(LEFT($A91,4),'Auto Responses'!$N$4:$O$38,2,0)&amp;""</f>
        <v xml:space="preserve"> International Privacy</v>
      </c>
      <c r="B90" s="22"/>
      <c r="C90" s="31"/>
      <c r="D90" s="31"/>
      <c r="E90" s="327"/>
      <c r="F90" s="129" t="s">
        <v>632</v>
      </c>
      <c r="G90" s="331" t="s">
        <v>627</v>
      </c>
      <c r="H90" s="331" t="s">
        <v>628</v>
      </c>
      <c r="I90" s="331" t="s">
        <v>629</v>
      </c>
      <c r="J90" s="331" t="s">
        <v>630</v>
      </c>
      <c r="K90" s="31"/>
    </row>
    <row r="91" spans="1:12" s="29" customFormat="1" ht="409.5" x14ac:dyDescent="0.25">
      <c r="A91" s="19" t="s">
        <v>534</v>
      </c>
      <c r="B91" s="18" t="str">
        <f>VLOOKUP($A91,Questions!$A$2:$X$333,2,0)</f>
        <v>Will data be collected from or processed in or stored in the European Economic Area (EEA)?</v>
      </c>
      <c r="C91" s="45" t="str">
        <f>VLOOKUP($A91,Privacy!$A$13:$E$97,3,0)&amp;""</f>
        <v>Yes</v>
      </c>
      <c r="D91" s="34" t="str">
        <f>IF(LEFT(VLOOKUP($A91,Privacy!$A$13:$E$97,5,0),21)='Auto Responses'!$A$32,'Auto Responses'!$A$33,VLOOKUP($A91,Privacy!$A$13:$E$97,4,0))&amp;""</f>
        <v>Where the institution's Order Form specifies a European Economic Area region, institutional data is collected, processed and stored in that region. Storage and processing take place only within the region specified in the Data Residency section of the Order Form; this is a contractual and enforceable commitment, and data is not moved, replicated or processed outside that region except where the institution explicitly instructs otherwise or where required by applicable law. Sub-processors are approved and used on a region-dependent basis consistent with that commitment. Where remote administrative or support access to an environment is required, it may be performed by authorised Preservica personnel based in the United Kingdom or the United States; such access is not routine, is granted only through defined and limited paths, and is least-privilege, logged and auditable. Standard Contractual Clauses are available to cover any resulting international transfer, including transfers to the United Kingdom or the United States.</v>
      </c>
      <c r="E91" s="326" t="str">
        <f>VLOOKUP($A91,Privacy!$A$13:$E$97,5,0)&amp;""</f>
        <v>Describe where and what activities will take place in the EEA.</v>
      </c>
      <c r="F91" s="184"/>
      <c r="G91" s="30" t="str">
        <f>VLOOKUP($A91,Questions!$A$2:$X$333,21,0)&amp;""</f>
        <v>No</v>
      </c>
      <c r="H91" s="181"/>
      <c r="I91" s="45" t="str">
        <f>VLOOKUP($A91,Questions!$A$2:$X$333,23,0)&amp;""</f>
        <v>Standard Importance</v>
      </c>
      <c r="J91" s="181"/>
      <c r="K91" s="48" t="b">
        <v>0</v>
      </c>
      <c r="L91" s="1"/>
    </row>
    <row r="92" spans="1:12" s="29" customFormat="1" ht="409.5" x14ac:dyDescent="0.25">
      <c r="A92" s="19" t="s">
        <v>536</v>
      </c>
      <c r="B92" s="18" t="str">
        <f>VLOOKUP($A92,Questions!$A$2:$X$333,2,0)</f>
        <v>Do you have a data protection officer (DPO)?</v>
      </c>
      <c r="C92" s="45" t="str">
        <f>VLOOKUP($A92,Privacy!$A$13:$E$97,3,0)&amp;""</f>
        <v>Yes</v>
      </c>
      <c r="D92" s="34" t="str">
        <f>IF(LEFT(VLOOKUP($A92,Privacy!$A$13:$E$97,5,0),21)='Auto Responses'!$A$32,'Auto Responses'!$A$33,VLOOKUP($A92,Privacy!$A$13:$E$97,4,0))&amp;""</f>
        <v>Preservica has appointed a Data Protection Officer, contactable at Privacy@preservica.com. As a matter of company policy the role is identified by function rather than by named individual, giving a stable and continuously monitored point of contact that is unaffected by personnel changes. This is consistent with Article 37(7) of the UK GDPR and EU GDPR, which requires the contact details of the Data Protection Officer to be published and communicated to the supervisory authority, but does not require publication of the individual's name.</v>
      </c>
      <c r="E92" s="326" t="str">
        <f>VLOOKUP($A92,Privacy!$A$13:$E$97,5,0)&amp;""</f>
        <v>Provide the name and contact information for the DPO.</v>
      </c>
      <c r="F92" s="184"/>
      <c r="G92" s="30" t="str">
        <f>VLOOKUP($A92,Questions!$A$2:$X$333,21,0)&amp;""</f>
        <v>Yes</v>
      </c>
      <c r="H92" s="181"/>
      <c r="I92" s="45" t="str">
        <f>VLOOKUP($A92,Questions!$A$2:$X$333,23,0)&amp;""</f>
        <v>Standard Importance</v>
      </c>
      <c r="J92" s="181"/>
      <c r="K92" s="48" t="b">
        <v>0</v>
      </c>
      <c r="L92" s="1"/>
    </row>
    <row r="93" spans="1:12" s="29" customFormat="1" ht="409.5" x14ac:dyDescent="0.25">
      <c r="A93" s="19" t="s">
        <v>538</v>
      </c>
      <c r="B93" s="18" t="str">
        <f>VLOOKUP($A93,Questions!$A$2:$X$333,2,0)</f>
        <v>Will you sign appropriate GDPR Standard Contractual Clauses (SCCs) with the institution?</v>
      </c>
      <c r="C93" s="45" t="str">
        <f>VLOOKUP($A93,Privacy!$A$13:$E$97,3,0)&amp;""</f>
        <v>Yes</v>
      </c>
      <c r="D93" s="34" t="str">
        <f>IF(LEFT(VLOOKUP($A93,Privacy!$A$13:$E$97,5,0),21)='Auto Responses'!$A$32,'Auto Responses'!$A$33,VLOOKUP($A93,Privacy!$A$13:$E$97,4,0))&amp;""</f>
        <v>Preservica will enter into GDPR Standard Contractual Clauses and a Data Processing Agreement with the institution, subject to legal review and negotiation. Agreements based on UK GDPR or EU GDPR Standard Contractual Clauses or similar recognised frameworks are the most straightforward to conclude. Preservica must be designated as Processor, with responsibilities aligned to the applicable legislation for that designation. Because Preservica does not determine or control the specific categories of personal data an institution chooses to process, completing the sections that require exact categories of data, data subjects and processing activities is normally a collaborative exercise between the institution and Preservica.</v>
      </c>
      <c r="E93" s="326" t="str">
        <f>VLOOKUP($A93,Privacy!$A$13:$E$97,5,0)&amp;""</f>
        <v/>
      </c>
      <c r="F93" s="184"/>
      <c r="G93" s="30" t="str">
        <f>VLOOKUP($A93,Questions!$A$2:$X$333,21,0)&amp;""</f>
        <v>Yes</v>
      </c>
      <c r="H93" s="181"/>
      <c r="I93" s="45" t="str">
        <f>VLOOKUP($A93,Questions!$A$2:$X$333,23,0)&amp;""</f>
        <v>Standard Importance</v>
      </c>
      <c r="J93" s="181"/>
      <c r="K93" s="48" t="b">
        <v>0</v>
      </c>
      <c r="L93" s="1"/>
    </row>
    <row r="94" spans="1:12" s="29" customFormat="1" ht="409.5" x14ac:dyDescent="0.25">
      <c r="A94" s="19" t="s">
        <v>540</v>
      </c>
      <c r="B94" s="18" t="str">
        <f>VLOOKUP($A94,Questions!$A$2:$X$333,2,0)</f>
        <v>Will data be collected from or processed in or stored in China?</v>
      </c>
      <c r="C94" s="45" t="str">
        <f>VLOOKUP($A94,Privacy!$A$13:$E$97,3,0)&amp;""</f>
        <v>No</v>
      </c>
      <c r="D94" s="34" t="str">
        <f>IF(LEFT(VLOOKUP($A94,Privacy!$A$13:$E$97,5,0),21)='Auto Responses'!$A$32,'Auto Responses'!$A$33,VLOOKUP($A94,Privacy!$A$13:$E$97,4,0))&amp;""</f>
        <v>Institutional data is stored and processed only within the geographic region specified in the Data Residency section of the institution's Order Form, and is not moved, replicated or processed outside that region except where the institution explicitly instructs otherwise or where required by applicable law. Sub-processors are approved and used on a region-dependent basis consistent with that commitment. Where remote administrative or support access is required, it may be performed only by authorised Preservica personnel based in the United Kingdom or the United States. Preservica does not collect, process or store institutional data in China.</v>
      </c>
      <c r="E94" s="326" t="str">
        <f>VLOOKUP($A94,Privacy!$A$13:$E$97,5,0)&amp;""</f>
        <v>See PIPL Chapter 1 for definitions.</v>
      </c>
      <c r="F94" s="184"/>
      <c r="G94" s="30" t="str">
        <f>VLOOKUP($A94,Questions!$A$2:$X$333,21,0)&amp;""</f>
        <v>No</v>
      </c>
      <c r="H94" s="181"/>
      <c r="I94" s="45" t="str">
        <f>VLOOKUP($A94,Questions!$A$2:$X$333,23,0)&amp;""</f>
        <v>Standard Importance</v>
      </c>
      <c r="J94" s="181"/>
      <c r="K94" s="48" t="b">
        <v>0</v>
      </c>
      <c r="L94" s="1"/>
    </row>
    <row r="95" spans="1:12" s="29" customFormat="1" ht="255" x14ac:dyDescent="0.25">
      <c r="A95" s="19" t="s">
        <v>542</v>
      </c>
      <c r="B95" s="18" t="str">
        <f>VLOOKUP($A95,Questions!$A$2:$X$333,2,0)</f>
        <v>Do you comply with PIPL security, privacy, and data localization requirements?</v>
      </c>
      <c r="C95" s="45" t="str">
        <f>VLOOKUP($A95,Privacy!$A$13:$E$97,3,0)&amp;""</f>
        <v>N/A</v>
      </c>
      <c r="D95" s="34" t="str">
        <f>IF(LEFT(VLOOKUP($A95,Privacy!$A$13:$E$97,5,0),21)='Auto Responses'!$A$32,'Auto Responses'!$A$33,VLOOKUP($A95,Privacy!$A$13:$E$97,4,0))&amp;""</f>
        <v>PIPL is not applicable to this engagement. Institutional data is stored and processed only within the geographic region specified in the institution's Order Form, Preservica does not collect, process or store institutional data in China, and access is available only to authorised Preservica personnel based in the United Kingdom or the United States.</v>
      </c>
      <c r="E95" s="326" t="str">
        <f>VLOOKUP($A95,Privacy!$A$13:$E$97,5,0)&amp;""</f>
        <v>Please explain why this does not apply to your product or service.</v>
      </c>
      <c r="F95" s="184"/>
      <c r="G95" s="30" t="str">
        <f>VLOOKUP($A95,Questions!$A$2:$X$333,21,0)&amp;""</f>
        <v>Yes</v>
      </c>
      <c r="H95" s="181"/>
      <c r="I95" s="45" t="str">
        <f>VLOOKUP($A95,Questions!$A$2:$X$333,23,0)&amp;""</f>
        <v>Standard Importance</v>
      </c>
      <c r="J95" s="181"/>
      <c r="K95" s="48" t="b">
        <v>0</v>
      </c>
      <c r="L95" s="1"/>
    </row>
    <row r="96" spans="1:12" s="1" customFormat="1" ht="17.5" x14ac:dyDescent="0.25">
      <c r="A96" s="63" t="str">
        <f>VLOOKUP(LEFT($A97,4),'Auto Responses'!$N$4:$O$38,2,0)&amp;""</f>
        <v xml:space="preserve"> Data Privacy</v>
      </c>
      <c r="B96" s="22"/>
      <c r="C96" s="31"/>
      <c r="D96" s="31"/>
      <c r="E96" s="327"/>
      <c r="F96" s="129" t="s">
        <v>632</v>
      </c>
      <c r="G96" s="331" t="s">
        <v>627</v>
      </c>
      <c r="H96" s="331" t="s">
        <v>628</v>
      </c>
      <c r="I96" s="331" t="s">
        <v>629</v>
      </c>
      <c r="J96" s="331" t="s">
        <v>630</v>
      </c>
      <c r="K96" s="31"/>
    </row>
    <row r="97" spans="1:12" s="29" customFormat="1" ht="409.5" x14ac:dyDescent="0.25">
      <c r="A97" s="19" t="s">
        <v>544</v>
      </c>
      <c r="B97" s="18" t="str">
        <f>VLOOKUP($A97,Questions!$A$2:$X$333,2,0)</f>
        <v>Have you performed a Data Privacy Impact Assessment for the solution/project?</v>
      </c>
      <c r="C97" s="45" t="str">
        <f>VLOOKUP($A97,Privacy!$A$13:$E$97,3,0)&amp;""</f>
        <v>Yes</v>
      </c>
      <c r="D97" s="34" t="str">
        <f>IF(LEFT(VLOOKUP($A97,Privacy!$A$13:$E$97,5,0),21)='Auto Responses'!$A$32,'Auto Responses'!$A$33,VLOOKUP($A97,Privacy!$A$13:$E$97,4,0))&amp;""</f>
        <v>Preservica maintains established Data Protection Impact Assessment templates and processes, and carries out Data Protection Impact Assessments for the processing for which it is Controller. Preservica acts as Processor in respect of content an institution ingests; under the UK GDPR and EU GDPR the obligation to carry out a Data Protection Impact Assessment for the institution's own processing rests with the institution as Controller. Preservica supports the institution in completing its assessment by supplying the information it needs about the service, its security controls, sub-processors and data residency, and by entering into a Data Processing Agreement. The division of responsibilities is set out in Preservica's Shared Responsibility Model, published at https://website-assets.preservica.com/production/resources/Shared-Responsibility-Model-Global-v1.1.pdf.</v>
      </c>
      <c r="E97" s="326" t="str">
        <f>VLOOKUP($A97,Privacy!$A$13:$E$97,5,0)&amp;""</f>
        <v>Provide copy, link, or summary overview.</v>
      </c>
      <c r="F97" s="184"/>
      <c r="G97" s="30" t="str">
        <f>VLOOKUP($A97,Questions!$A$2:$X$333,21,0)&amp;""</f>
        <v>Yes</v>
      </c>
      <c r="H97" s="181"/>
      <c r="I97" s="45" t="str">
        <f>VLOOKUP($A97,Questions!$A$2:$X$333,23,0)&amp;""</f>
        <v>Standard Importance</v>
      </c>
      <c r="J97" s="181"/>
      <c r="K97" s="48" t="b">
        <v>0</v>
      </c>
      <c r="L97" s="1"/>
    </row>
    <row r="98" spans="1:12" s="29" customFormat="1" ht="409.5" x14ac:dyDescent="0.25">
      <c r="A98" s="19" t="s">
        <v>546</v>
      </c>
      <c r="B98" s="18" t="str">
        <f>VLOOKUP($A98,Questions!$A$2:$X$333,2,0)</f>
        <v>Do you provide an end-user privacy notice about privacy policies and procedures that identify the purpose(s) for which personal information is collected, used, retained, and disclosed?</v>
      </c>
      <c r="C98" s="45" t="str">
        <f>VLOOKUP($A98,Privacy!$A$13:$E$97,3,0)&amp;""</f>
        <v>Yes</v>
      </c>
      <c r="D98" s="34" t="str">
        <f>IF(LEFT(VLOOKUP($A98,Privacy!$A$13:$E$97,5,0),21)='Auto Responses'!$A$32,'Auto Responses'!$A$33,VLOOKUP($A98,Privacy!$A$13:$E$97,4,0))&amp;""</f>
        <v>Preservica publishes a Privacy Policy and a GDPR Policy via the Trust Center at https://preservica.com/trust-center, describing the personal data Preservica processes as Controller, the purposes for which it is collected, used, retained and disclosed, and the rights available to individuals. Those purposes are limited to managing the commercial relationship with the institution, security and service monitoring of the platform and any monitoring required by law, and monitoring, reviewing, improving and developing Preservica's own performance, products and services. In respect of content the institution ingests, Preservica acts as Processor on the institution's documented instructions; the notice provided to the institution's own users and data subjects about that content is the institution's responsibility as Controller.</v>
      </c>
      <c r="E98" s="326" t="str">
        <f>VLOOKUP($A98,Privacy!$A$13:$E$97,5,0)&amp;""</f>
        <v>Provide link or copy.</v>
      </c>
      <c r="F98" s="184"/>
      <c r="G98" s="30" t="str">
        <f>VLOOKUP($A98,Questions!$A$2:$X$333,21,0)&amp;""</f>
        <v>Yes</v>
      </c>
      <c r="H98" s="181"/>
      <c r="I98" s="45" t="str">
        <f>VLOOKUP($A98,Questions!$A$2:$X$333,23,0)&amp;""</f>
        <v>Standard Importance</v>
      </c>
      <c r="J98" s="181"/>
      <c r="K98" s="48" t="b">
        <v>0</v>
      </c>
      <c r="L98" s="1"/>
    </row>
    <row r="99" spans="1:12" s="29" customFormat="1" ht="409.5" x14ac:dyDescent="0.25">
      <c r="A99" s="19" t="s">
        <v>548</v>
      </c>
      <c r="B99" s="18" t="str">
        <f>VLOOKUP($A99,Questions!$A$2:$X$333,2,0)</f>
        <v>Do you describe the choices available to the individual and obtain implicit or explicit consent with respect to the collection, use, and disclosure of personal information?</v>
      </c>
      <c r="C99" s="45" t="str">
        <f>VLOOKUP($A99,Privacy!$A$13:$E$97,3,0)&amp;""</f>
        <v>Yes</v>
      </c>
      <c r="D99" s="34" t="str">
        <f>IF(LEFT(VLOOKUP($A99,Privacy!$A$13:$E$97,5,0),21)='Auto Responses'!$A$32,'Auto Responses'!$A$33,VLOOKUP($A99,Privacy!$A$13:$E$97,4,0))&amp;""</f>
        <v>For the processing Preservica carries out as Controller, choices are described in the published Privacy Policy. Service telemetry is collected only where the user has consented through the cookie banner presented on first visit, which offers both accept and reject options; where consent is declined, no telemetry is collected. At the institutional level, AI capabilities are disabled by default and must be explicitly enabled, so no AI processing of institutional content occurs without the institution's decision. In respect of content the institution ingests, the institution determines what is collected and the lawful basis on which it is processed, and is responsible as Controller for describing choices to, and obtaining any necessary consent from, its own data subjects; Preservica processes that content only on the institution's documented instructions.</v>
      </c>
      <c r="E99" s="326" t="str">
        <f>VLOOKUP($A99,Privacy!$A$13:$E$97,5,0)&amp;""</f>
        <v>Provide copy, link, or summary overview.</v>
      </c>
      <c r="F99" s="184"/>
      <c r="G99" s="30" t="str">
        <f>VLOOKUP($A99,Questions!$A$2:$X$333,21,0)&amp;""</f>
        <v>Yes</v>
      </c>
      <c r="H99" s="181"/>
      <c r="I99" s="45" t="str">
        <f>VLOOKUP($A99,Questions!$A$2:$X$333,23,0)&amp;""</f>
        <v>Standard Importance</v>
      </c>
      <c r="J99" s="181"/>
      <c r="K99" s="48" t="b">
        <v>0</v>
      </c>
      <c r="L99" s="1"/>
    </row>
    <row r="100" spans="1:12" s="29" customFormat="1" ht="409.5" x14ac:dyDescent="0.25">
      <c r="A100" s="19" t="s">
        <v>550</v>
      </c>
      <c r="B100" s="18" t="str">
        <f>VLOOKUP($A100,Questions!$A$2:$X$333,2,0)</f>
        <v>Do you collect personal information only for the purpose(s) identified in the agreement with an institution or, if there is none, the purpose(s) identified in the privacy notice?</v>
      </c>
      <c r="C100" s="45" t="str">
        <f>VLOOKUP($A100,Privacy!$A$13:$E$97,3,0)&amp;""</f>
        <v>Yes</v>
      </c>
      <c r="D100" s="34" t="str">
        <f>IF(LEFT(VLOOKUP($A100,Privacy!$A$13:$E$97,5,0),21)='Auto Responses'!$A$32,'Auto Responses'!$A$33,VLOOKUP($A100,Privacy!$A$13:$E$97,4,0))&amp;""</f>
        <v>Content ingested into the service is processed solely in Preservica's capacity as Processor, on the institution's documented instructions and only to deliver the contracted service. It is not processed for Preservica's own purposes, is not used for product development, is not used to train or fine-tune any AI model, and is not used in Preservica's development or test environments. Preservica separately collects aggregated telemetry on use of the service for product enhancement; this telemetry contains no personally identifiable information and is collected only with the user's consent through the cookie banner. Preservica also processes the limited personal data required to manage the commercial relationship with the institution, as described in its Privacy Policy.</v>
      </c>
      <c r="E100" s="326" t="str">
        <f>VLOOKUP($A100,Privacy!$A$13:$E$97,5,0)&amp;""</f>
        <v>Describe purposes not included in an agreement with the institution.</v>
      </c>
      <c r="F100" s="184"/>
      <c r="G100" s="30" t="str">
        <f>VLOOKUP($A100,Questions!$A$2:$X$333,21,0)&amp;""</f>
        <v>Yes</v>
      </c>
      <c r="H100" s="181"/>
      <c r="I100" s="45" t="str">
        <f>VLOOKUP($A100,Questions!$A$2:$X$333,23,0)&amp;""</f>
        <v>Standard Importance</v>
      </c>
      <c r="J100" s="181"/>
      <c r="K100" s="48" t="b">
        <v>0</v>
      </c>
      <c r="L100" s="1"/>
    </row>
    <row r="101" spans="1:12" s="29" customFormat="1" ht="409.5" x14ac:dyDescent="0.25">
      <c r="A101" s="19" t="s">
        <v>552</v>
      </c>
      <c r="B101" s="18" t="str">
        <f>VLOOKUP($A101,Questions!$A$2:$X$333,2,0)</f>
        <v>Do you have a documented list of personal data your service maintains?</v>
      </c>
      <c r="C101" s="45" t="str">
        <f>VLOOKUP($A101,Privacy!$A$13:$E$97,3,0)&amp;""</f>
        <v>Yes</v>
      </c>
      <c r="D101" s="34" t="str">
        <f>IF(LEFT(VLOOKUP($A101,Privacy!$A$13:$E$97,5,0),21)='Auto Responses'!$A$32,'Auto Responses'!$A$33,VLOOKUP($A101,Privacy!$A$13:$E$97,4,0))&amp;""</f>
        <v>Preservica maintains a Record of Processing Activities covering the processing for which it is Controller, including internal corporate processing and institutional contact data held in its customer relationship management system. In respect of content the institution ingests, Preservica does not prescribe or restrict the data types an institution chooses to store, and does not inspect that content; the institution determines what personal data it ingests and documents it as Controller. Where the institution's optional AI capability for identifying potential personal data is enabled, the platform can flag likely personal data within content for the institution's review, supporting the institution in compiling and maintaining its own record.</v>
      </c>
      <c r="E101" s="326" t="str">
        <f>VLOOKUP($A101,Privacy!$A$13:$E$97,5,0)&amp;""</f>
        <v>Provide copy, link, or summary overview.</v>
      </c>
      <c r="F101" s="184"/>
      <c r="G101" s="30" t="str">
        <f>VLOOKUP($A101,Questions!$A$2:$X$333,21,0)&amp;""</f>
        <v>Yes</v>
      </c>
      <c r="H101" s="181"/>
      <c r="I101" s="45" t="str">
        <f>VLOOKUP($A101,Questions!$A$2:$X$333,23,0)&amp;""</f>
        <v>Standard Importance</v>
      </c>
      <c r="J101" s="181"/>
      <c r="K101" s="48" t="b">
        <v>0</v>
      </c>
      <c r="L101" s="1"/>
    </row>
    <row r="102" spans="1:12" s="29" customFormat="1" ht="409.5" x14ac:dyDescent="0.25">
      <c r="A102" s="19" t="s">
        <v>554</v>
      </c>
      <c r="B102" s="18" t="str">
        <f>VLOOKUP($A102,Questions!$A$2:$X$333,2,0)</f>
        <v>Do you retain personal information for only as long as necessary to fulfill the stated purpose(s) or as required by law or regulation and thereafter appropriately dispose of such information?</v>
      </c>
      <c r="C102" s="45" t="str">
        <f>VLOOKUP($A102,Privacy!$A$13:$E$97,3,0)&amp;""</f>
        <v>Yes</v>
      </c>
      <c r="D102" s="34" t="str">
        <f>IF(LEFT(VLOOKUP($A102,Privacy!$A$13:$E$97,5,0),21)='Auto Responses'!$A$32,'Auto Responses'!$A$33,VLOOKUP($A102,Privacy!$A$13:$E$97,4,0))&amp;""</f>
        <v>Retention of content during an active agreement is determined by the institution through its own records management configuration within the platform; Preservica does not impose or alter retention periods for institutional content. Preservica deletes customer data in accordance with its retention determination and policy when it is no longer required. Following termination, the platform supports export of some or all institutional data for up to 30 days, in a common machine-readable format, and Preservica supports the OPEX (Open Preservation Exchange) standard for structured export of preservation content and metadata; extensions to that window can be arranged. Deletion follows the export window, or as otherwise specified in the institution's agreement. Where an entire environment or tenancy is deleted at the end of an agreement, Preservica can provide an Attestation of Deletion on request: a formal letter identifying the services, URLs, tenancy identifiers and cloud service providers in scope, confirming that data has been securely and permanently deleted from Preservica's application databases and storage systems. Logical deletion is performed by Preservica; physical destruction of the underlying storage media is the responsibility of the cloud service provider, and Preservica relies on those providers' independently audited certifications and attestations. Preservica's own information assets are governed by its asset management procedure, under which equipment is reset and user data securely wiped before reuse or disposal.</v>
      </c>
      <c r="E102" s="326" t="str">
        <f>VLOOKUP($A102,Privacy!$A$13:$E$97,5,0)&amp;""</f>
        <v/>
      </c>
      <c r="F102" s="184"/>
      <c r="G102" s="30" t="str">
        <f>VLOOKUP($A102,Questions!$A$2:$X$333,21,0)&amp;""</f>
        <v>Yes</v>
      </c>
      <c r="H102" s="181"/>
      <c r="I102" s="45" t="str">
        <f>VLOOKUP($A102,Questions!$A$2:$X$333,23,0)&amp;""</f>
        <v>Standard Importance</v>
      </c>
      <c r="J102" s="181"/>
      <c r="K102" s="48" t="b">
        <v>0</v>
      </c>
      <c r="L102" s="1"/>
    </row>
    <row r="103" spans="1:12" s="29" customFormat="1" ht="409.5" x14ac:dyDescent="0.25">
      <c r="A103" s="19" t="s">
        <v>556</v>
      </c>
      <c r="B103" s="18" t="str">
        <f>VLOOKUP($A103,Questions!$A$2:$X$333,2,0)</f>
        <v>Do you provide individuals with access to their personal information for review and update (i.e., data subject rights)?</v>
      </c>
      <c r="C103" s="45" t="str">
        <f>VLOOKUP($A103,Privacy!$A$13:$E$97,3,0)&amp;""</f>
        <v>Yes</v>
      </c>
      <c r="D103" s="34" t="str">
        <f>IF(LEFT(VLOOKUP($A103,Privacy!$A$13:$E$97,5,0),21)='Auto Responses'!$A$32,'Auto Responses'!$A$33,VLOOKUP($A103,Privacy!$A$13:$E$97,4,0))&amp;""</f>
        <v>Individuals may exercise their rights in respect of the personal data Preservica processes as Controller by contacting Privacy@preservica.com. In respect of content an institution ingests, Preservica acts as Processor: the institution is the Controller and holds the relationship with its data subjects, so requests for access, review, correction or erasure are received and determined by the institution. The platform provides the tooling for the institution to respond: search and retrieval across content and metadata, the ability for authorised users to update and correct content and metadata including bulk metadata updates, role-based access control with permissions scoped to specific content, and export in a common machine-readable format. Where an institution has enabled the optional capability for identifying potential personal data within content, that capability can assist in locating relevant material. Preservica will assist the institution with a request on its written request, in accordance with the Data Processing Agreement between the parties.</v>
      </c>
      <c r="E103" s="326" t="str">
        <f>VLOOKUP($A103,Privacy!$A$13:$E$97,5,0)&amp;""</f>
        <v>Such processes would include descriptions of request processes individuals can follow to review their information and written processes a data subject may use to ask for changes or corrections to data held about them.</v>
      </c>
      <c r="F103" s="184"/>
      <c r="G103" s="30" t="str">
        <f>VLOOKUP($A103,Questions!$A$2:$X$333,21,0)&amp;""</f>
        <v>Yes</v>
      </c>
      <c r="H103" s="181"/>
      <c r="I103" s="45" t="str">
        <f>VLOOKUP($A103,Questions!$A$2:$X$333,23,0)&amp;""</f>
        <v>Standard Importance</v>
      </c>
      <c r="J103" s="181"/>
      <c r="K103" s="48" t="b">
        <v>0</v>
      </c>
      <c r="L103" s="1"/>
    </row>
    <row r="104" spans="1:12" s="29" customFormat="1" ht="409.5" x14ac:dyDescent="0.25">
      <c r="A104" s="19" t="s">
        <v>558</v>
      </c>
      <c r="B104" s="18" t="str">
        <f>VLOOKUP($A104,Questions!$A$2:$X$333,2,0)</f>
        <v>Do you disclose personal information to third parties only for the purpose(s) identified in the privacy notice or with the implicit or explicit consent of the individual?</v>
      </c>
      <c r="C104" s="45" t="str">
        <f>VLOOKUP($A104,Privacy!$A$13:$E$97,3,0)&amp;""</f>
        <v>Yes</v>
      </c>
      <c r="D104" s="34" t="str">
        <f>IF(LEFT(VLOOKUP($A104,Privacy!$A$13:$E$97,5,0),21)='Auto Responses'!$A$32,'Auto Responses'!$A$33,VLOOKUP($A104,Privacy!$A$13:$E$97,4,0))&amp;""</f>
        <v>Preservica does not disclose institutional data to third parties for any purpose other than delivering the contracted service. Preservica's sub-processors are AWS or Microsoft Azure, as specified in the institution's Order Form, together with Cloudflare for Professional edition and above; Preservica accepts responsibility for its sub-processors under its standard Terms and Conditions, and sub-processors are approved and used on a region-dependent basis consistent with the institution's contracted data residency. Critical suppliers' independent certifications and attestations are reviewed at least annually. Institutional data is not sold, is not shared with advertising networks or data brokers, is not used for marketing or profiling, and is not used to train or fine-tune any AI model. Where an institution enables the optional image description capability, content is processed by the enterprise AI services of the same cloud provider that already hosts the institution's environment, on an inference-only, stateless basis, with no retention of inputs or outputs by the model for training. The only other circumstance in which institutional data may be disclosed is under a legally valid and binding order, assessed case by case, limited to the specific data identified in the order, requiring sign-off by Preservica's Legal team, and with notification to the institution where legally permitted.</v>
      </c>
      <c r="E104" s="326" t="str">
        <f>VLOOKUP($A104,Privacy!$A$13:$E$97,5,0)&amp;""</f>
        <v/>
      </c>
      <c r="F104" s="184"/>
      <c r="G104" s="30" t="str">
        <f>VLOOKUP($A104,Questions!$A$2:$X$333,21,0)&amp;""</f>
        <v>Yes</v>
      </c>
      <c r="H104" s="181"/>
      <c r="I104" s="45" t="str">
        <f>VLOOKUP($A104,Questions!$A$2:$X$333,23,0)&amp;""</f>
        <v>Standard Importance</v>
      </c>
      <c r="J104" s="181"/>
      <c r="K104" s="48" t="b">
        <v>0</v>
      </c>
      <c r="L104" s="1"/>
    </row>
    <row r="105" spans="1:12" s="29" customFormat="1" ht="409.5" x14ac:dyDescent="0.25">
      <c r="A105" s="19" t="s">
        <v>560</v>
      </c>
      <c r="B105" s="18" t="str">
        <f>VLOOKUP($A105,Questions!$A$2:$X$333,2,0)</f>
        <v>Do you protect personal information against unauthorized access (both physical and logical)?</v>
      </c>
      <c r="C105" s="45" t="str">
        <f>VLOOKUP($A105,Privacy!$A$13:$E$97,3,0)&amp;""</f>
        <v>Yes</v>
      </c>
      <c r="D105" s="34" t="str">
        <f>IF(LEFT(VLOOKUP($A105,Privacy!$A$13:$E$97,5,0),21)='Auto Responses'!$A$32,'Auto Responses'!$A$33,VLOOKUP($A105,Privacy!$A$13:$E$97,4,0))&amp;""</f>
        <v>Logical protection: data is encrypted in transit and at rest, using AES-256 at rest with key management provided by the hosting cloud service provider; institutions on dedicated infrastructure have unique encryption keys that are not shared. Institutional content is always stored at rest in customer-specific storage containers so it cannot be reached by other customers, and dedicated processing infrastructure is available at Enterprise Plus and above. Access within the platform is controlled through role-based access control with predefined and custom roles whose permissions can be scoped to specific content, and institutions may restrict access by network location using IP allow-listing. A Web Application Firewall protects Professional edition and above environments. The platform captures audit logs of activity within the institution's tenancy, including login and logout events and user activity records, which are protected against modification and can be retrieved through the platform's APIs for ingestion into the institution's own security monitoring platform. Preservica staff have no routine or standing access to institutional data; where access is required it occurs only through defined, limited paths, is least-privilege, logged and auditable, and access rights are reviewed at least every six months and removed when the business need ceases. Physical protection: Preservica does not operate its own data centres. Institutional data resides exclusively in AWS or Microsoft Azure infrastructure, where physical security is the provider's responsibility under their own independently audited certifications and attestations, which Preservica reviews at least annually. Preservica applies its own physical security controls at its corporate offices, including defined security perimeters, controlled entry, monitoring for unauthorised access, and escorted visitors; removable storage media is not authorised for use. Preservica's controls are independently assured through ISO/IEC 27001:2022 certification and an annual SOC 2 Type II audit.</v>
      </c>
      <c r="E105" s="326" t="str">
        <f>VLOOKUP($A105,Privacy!$A$13:$E$97,5,0)&amp;""</f>
        <v/>
      </c>
      <c r="F105" s="184"/>
      <c r="G105" s="30" t="str">
        <f>VLOOKUP($A105,Questions!$A$2:$X$333,21,0)&amp;""</f>
        <v>Yes</v>
      </c>
      <c r="H105" s="181"/>
      <c r="I105" s="45" t="str">
        <f>VLOOKUP($A105,Questions!$A$2:$X$333,23,0)&amp;""</f>
        <v>Standard Importance</v>
      </c>
      <c r="J105" s="181"/>
      <c r="K105" s="48" t="b">
        <v>0</v>
      </c>
      <c r="L105" s="1"/>
    </row>
    <row r="106" spans="1:12" s="29" customFormat="1" ht="409.5" x14ac:dyDescent="0.25">
      <c r="A106" s="19" t="s">
        <v>562</v>
      </c>
      <c r="B106" s="18" t="str">
        <f>VLOOKUP($A106,Questions!$A$2:$X$333,2,0)</f>
        <v>Do you maintain accurate, complete, and relevant personal information for the purposes identified in the privacy notice?</v>
      </c>
      <c r="C106" s="45" t="str">
        <f>VLOOKUP($A106,Privacy!$A$13:$E$97,3,0)&amp;""</f>
        <v>Yes</v>
      </c>
      <c r="D106" s="34" t="str">
        <f>IF(LEFT(VLOOKUP($A106,Privacy!$A$13:$E$97,5,0),21)='Auto Responses'!$A$32,'Auto Responses'!$A$33,VLOOKUP($A106,Privacy!$A$13:$E$97,4,0))&amp;""</f>
        <v>For the personal data Preservica processes as Controller, records are maintained and kept up to date for the purposes described in its Privacy Policy, and individuals may seek correction by contacting Privacy@preservica.com. In respect of content an institution ingests, accuracy, completeness and relevance are determined by the institution as Controller; Preservica stores content as ingested and does not alter it. The platform supports the institution in maintaining accuracy: authorised users can update and correct content and metadata, including applying updates across a set of search results, and can apply custom metadata schemas. Preservica assures the integrity of stored content through application-level fixity checking: at ingest the platform either generates a checksum for each file or validates a checksum supplied by the institution, with a mismatch on a supplied checksum failing the ingest at that point; the platform then periodically re-computes the checksum of every stored file against the value on record, and discrepancies are alerted to Preservica's Operations team and, optionally, to the institution. Supported algorithms, configurable by the institution, are MD5, SHA-1, SHA-256 and SHA-512.</v>
      </c>
      <c r="E106" s="326" t="str">
        <f>VLOOKUP($A106,Privacy!$A$13:$E$97,5,0)&amp;""</f>
        <v/>
      </c>
      <c r="F106" s="184"/>
      <c r="G106" s="30" t="str">
        <f>VLOOKUP($A106,Questions!$A$2:$X$333,21,0)&amp;""</f>
        <v>Yes</v>
      </c>
      <c r="H106" s="181"/>
      <c r="I106" s="45" t="str">
        <f>VLOOKUP($A106,Questions!$A$2:$X$333,23,0)&amp;""</f>
        <v>Standard Importance</v>
      </c>
      <c r="J106" s="181"/>
      <c r="K106" s="48" t="b">
        <v>0</v>
      </c>
      <c r="L106" s="1"/>
    </row>
    <row r="107" spans="1:12" s="29" customFormat="1" ht="409.5" x14ac:dyDescent="0.25">
      <c r="A107" s="19" t="s">
        <v>564</v>
      </c>
      <c r="B107" s="18" t="str">
        <f>VLOOKUP($A107,Questions!$A$2:$X$333,2,0)</f>
        <v>Do you have procedures to address privacy-related noncompliance complaints and disputes?</v>
      </c>
      <c r="C107" s="45" t="str">
        <f>VLOOKUP($A107,Privacy!$A$13:$E$97,3,0)&amp;""</f>
        <v>Yes</v>
      </c>
      <c r="D107" s="34" t="str">
        <f>IF(LEFT(VLOOKUP($A107,Privacy!$A$13:$E$97,5,0),21)='Auto Responses'!$A$32,'Auto Responses'!$A$33,VLOOKUP($A107,Privacy!$A$13:$E$97,4,0))&amp;""</f>
        <v>Privacy enquiries, concerns and complaints may be raised at Privacy@preservica.com, a dedicated and continuously monitored mailbox, and are handled by Preservica's Data Protection Officer. Where a complaint or concern indicates that personal data may have been affected, it is handled under Preservica's Incident Management Policy, which is supported by a Cyber Incident Response Plan with scenario-specific playbooks and a Crisis Management Communications Plan; the Data Protection Officer is engaged in the escalation path and advises on assessment, containment and notification. Incidents are classified by severity with defined escalation paths, documented with root cause analysis, and reviewed in a lessons-learned exercise within seven days of recovery, with findings presented to the Leadership Team. The Chief Information Security Officer has overall responsibility for incident response, with ultimate accountability resting with the Chief Executive Officer and the Board. Institutions may also raise matters through their contractual audit and assurance rights, and compliance documentation is published via the Trust Center at https://preservica.com/trust-center.</v>
      </c>
      <c r="E107" s="326" t="str">
        <f>VLOOKUP($A107,Privacy!$A$13:$E$97,5,0)&amp;""</f>
        <v>Provide a brief overview of processes or procedures to handle privacy-related complaints.</v>
      </c>
      <c r="F107" s="184"/>
      <c r="G107" s="30" t="str">
        <f>VLOOKUP($A107,Questions!$A$2:$X$333,21,0)&amp;""</f>
        <v>Yes</v>
      </c>
      <c r="H107" s="181"/>
      <c r="I107" s="45" t="str">
        <f>VLOOKUP($A107,Questions!$A$2:$X$333,23,0)&amp;""</f>
        <v>Standard Importance</v>
      </c>
      <c r="J107" s="181"/>
      <c r="K107" s="48" t="b">
        <v>0</v>
      </c>
      <c r="L107" s="1"/>
    </row>
    <row r="108" spans="1:12" s="29" customFormat="1" ht="409.5" x14ac:dyDescent="0.25">
      <c r="A108" s="19" t="s">
        <v>566</v>
      </c>
      <c r="B108" s="18" t="str">
        <f>VLOOKUP($A108,Questions!$A$2:$X$333,2,0)</f>
        <v>Do you "anonymize," "de-identify," or otherwise mask personal data?</v>
      </c>
      <c r="C108" s="45" t="str">
        <f>VLOOKUP($A108,Privacy!$A$13:$E$97,3,0)&amp;""</f>
        <v>No</v>
      </c>
      <c r="D108" s="34" t="str">
        <f>IF(LEFT(VLOOKUP($A108,Privacy!$A$13:$E$97,5,0),21)='Auto Responses'!$A$32,'Auto Responses'!$A$33,VLOOKUP($A108,Privacy!$A$13:$E$97,4,0))&amp;""</f>
        <v>Preservica does not anonymise, de-identify or mask the content an institution ingests. Content is stored as the institution provides it, and Preservica does not prescribe, inspect or transform it; decisions about redaction, de-identification or removal rest with the institution as Controller. Preservica does provide two related capabilities. First, an optional AI capability can identify potential personal data within content and flag it for the institution's review, so that the institution can decide what action to take; the capability identifies rather than removes or masks, is disabled by default, and outputs are presented for human review. Second, Preservica's own aggregated service telemetry contains no personally identifiable information. Institutional production data is not used in Preservica's development or test environments, so no masked or de-identified copy of institutional content is created for that purpose.</v>
      </c>
      <c r="E108" s="326" t="str">
        <f>VLOOKUP($A108,Privacy!$A$13:$E$97,5,0)&amp;""</f>
        <v/>
      </c>
      <c r="F108" s="184"/>
      <c r="G108" s="30" t="str">
        <f>VLOOKUP($A108,Questions!$A$2:$X$333,21,0)&amp;""</f>
        <v>Yes</v>
      </c>
      <c r="H108" s="181"/>
      <c r="I108" s="45" t="str">
        <f>VLOOKUP($A108,Questions!$A$2:$X$333,23,0)&amp;""</f>
        <v>Standard Importance</v>
      </c>
      <c r="J108" s="181"/>
      <c r="K108" s="48" t="b">
        <v>0</v>
      </c>
      <c r="L108" s="1"/>
    </row>
    <row r="109" spans="1:12" s="29" customFormat="1" ht="409.5" x14ac:dyDescent="0.25">
      <c r="A109" s="19" t="s">
        <v>568</v>
      </c>
      <c r="B109" s="18" t="str">
        <f>VLOOKUP($A109,Questions!$A$2:$X$333,2,0)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109" s="45" t="str">
        <f>VLOOKUP($A109,Privacy!$A$13:$E$97,3,0)&amp;""</f>
        <v>No</v>
      </c>
      <c r="D109" s="34" t="str">
        <f>IF(LEFT(VLOOKUP($A109,Privacy!$A$13:$E$97,5,0),21)='Auto Responses'!$A$32,'Auto Responses'!$A$33,VLOOKUP($A109,Privacy!$A$13:$E$97,4,0))&amp;""</f>
        <v>Neither Preservica nor its sub-processors use or disclose institutional data, in identifiable, de-identified or anonymised form, for any purpose other than delivering the contracted service. It is not sold or shared with advertising networks or data brokers, is not used for marketing, is not used to create profiles, is not used for analytics unrelated to the services provided to the institution, and is not used to train or fine-tune any AI model. Separately from institutional content, Preservica collects aggregated telemetry on use of its own service for product enhancement purposes; this telemetry contains no personally identifiable information and is collected only where the user has consented through the cookie banner presented on first visit, which offers both accept and reject options.</v>
      </c>
      <c r="E109" s="326" t="str">
        <f>VLOOKUP($A109,Privacy!$A$13:$E$97,5,0)&amp;""</f>
        <v/>
      </c>
      <c r="F109" s="184"/>
      <c r="G109" s="30" t="str">
        <f>VLOOKUP($A109,Questions!$A$2:$X$333,21,0)&amp;""</f>
        <v>No</v>
      </c>
      <c r="H109" s="181"/>
      <c r="I109" s="45" t="str">
        <f>VLOOKUP($A109,Questions!$A$2:$X$333,23,0)&amp;""</f>
        <v>Standard Importance</v>
      </c>
      <c r="J109" s="181"/>
      <c r="K109" s="48" t="b">
        <v>0</v>
      </c>
      <c r="L109" s="1"/>
    </row>
    <row r="110" spans="1:12" s="29" customFormat="1" ht="409.5" x14ac:dyDescent="0.25">
      <c r="A110" s="19" t="s">
        <v>570</v>
      </c>
      <c r="B110" s="18" t="str">
        <f>VLOOKUP($A110,Questions!$A$2:$X$333,2,0)</f>
        <v>Do you certify stop-processing requests, including any data that is processed by a third party on your behalf?</v>
      </c>
      <c r="C110" s="45" t="str">
        <f>VLOOKUP($A110,Privacy!$A$13:$E$97,3,0)&amp;""</f>
        <v>Yes</v>
      </c>
      <c r="D110" s="34" t="str">
        <f>IF(LEFT(VLOOKUP($A110,Privacy!$A$13:$E$97,5,0),21)='Auto Responses'!$A$32,'Auto Responses'!$A$33,VLOOKUP($A110,Privacy!$A$13:$E$97,4,0))&amp;""</f>
        <v>Preservica acts as Processor in respect of content an institution ingests and processes it only on the institution's documented instructions, which includes an instruction to cease processing. Preservica's sub-processors are AWS or Microsoft Azure, as specified in the institution's Order Form, together with Cloudflare for Professional edition and above; Preservica accepts responsibility for its sub-processors under its standard Terms and Conditions, so an instruction to cease processing extends to processing carried out by a sub-processor on Preservica's behalf. Where an instruction results in deletion of an entire environment or tenancy, Preservica can provide an Attestation of Deletion: a formal letter identifying the services, URLs, tenancy identifiers and cloud service providers in scope, confirming that data has been securely and permanently deleted from Preservica's application databases and storage systems. Logical deletion is performed by Preservica; physical destruction of the underlying storage media is the responsibility of the cloud service provider, and Preservica relies on those providers' independently audited certifications and attestations. Deletion and cessation obligations for a specific engagement are as set out in the Data Processing Agreement between the parties.</v>
      </c>
      <c r="E110" s="326" t="str">
        <f>VLOOKUP($A110,Privacy!$A$13:$E$97,5,0)&amp;""</f>
        <v>Briefly outline relevant processes.</v>
      </c>
      <c r="F110" s="184"/>
      <c r="G110" s="30" t="str">
        <f>VLOOKUP($A110,Questions!$A$2:$X$333,21,0)&amp;""</f>
        <v>Yes</v>
      </c>
      <c r="H110" s="181"/>
      <c r="I110" s="45" t="str">
        <f>VLOOKUP($A110,Questions!$A$2:$X$333,23,0)&amp;""</f>
        <v>Standard Importance</v>
      </c>
      <c r="J110" s="181"/>
      <c r="K110" s="48" t="b">
        <v>0</v>
      </c>
      <c r="L110" s="1"/>
    </row>
    <row r="111" spans="1:12" s="29" customFormat="1" ht="409.5" x14ac:dyDescent="0.25">
      <c r="A111" s="19" t="s">
        <v>572</v>
      </c>
      <c r="B111" s="18" t="str">
        <f>VLOOKUP($A111,Questions!$A$2:$X$333,2,0)</f>
        <v>Do you have a process to review code for ethical considerations?</v>
      </c>
      <c r="C111" s="45" t="str">
        <f>VLOOKUP($A111,Privacy!$A$13:$E$97,3,0)&amp;""</f>
        <v>Yes</v>
      </c>
      <c r="D111" s="34" t="str">
        <f>IF(LEFT(VLOOKUP($A111,Privacy!$A$13:$E$97,5,0),21)='Auto Responses'!$A$32,'Auto Responses'!$A$33,VLOOKUP($A111,Privacy!$A$13:$E$97,4,0))&amp;""</f>
        <v>Preservica maintains a Secure Development Policy establishing mandatory standards and controls across requirements specification, system design, development, testing and deployment, with privacy by design among its principles. System designs are peer-reviewed at regular Technical Review meetings attended by DevOps and Operations personnel, senior engineers and a representative from Information Security, and source code changes require second-person review and approval before acceptance. Preservica maintains an AI policy within its information security policy framework, and acts as a Deployer rather than a Provider of AI systems under Regulation (EU) 2024/1689: capabilities are selected and integrated for defined low-risk use cases, safeguards are applied, staff AI literacy is maintained, and human oversight of outputs is retained. AI capabilities are disabled by default, require explicit activation by the institution, can be restricted to authorised users, and produce outputs that are presented for human review rather than acted upon autonomously. Staff receive role-aligned training covering AI awareness and literacy, responsible use, information security and data protection obligations.</v>
      </c>
      <c r="E111" s="326" t="str">
        <f>VLOOKUP($A111,Privacy!$A$13:$E$97,5,0)&amp;""</f>
        <v>Provide documentation or explanation of the process to review code. If none exists, explain why.</v>
      </c>
      <c r="F111" s="184"/>
      <c r="G111" s="30" t="str">
        <f>VLOOKUP($A111,Questions!$A$2:$X$333,21,0)&amp;""</f>
        <v>Yes</v>
      </c>
      <c r="H111" s="181"/>
      <c r="I111" s="45" t="str">
        <f>VLOOKUP($A111,Questions!$A$2:$X$333,23,0)&amp;""</f>
        <v>Standard Importance</v>
      </c>
      <c r="J111" s="181"/>
      <c r="K111" s="48" t="b">
        <v>0</v>
      </c>
      <c r="L111" s="1"/>
    </row>
    <row r="112" spans="1:12" s="1" customFormat="1" ht="17.5" x14ac:dyDescent="0.25">
      <c r="A112" s="63" t="str">
        <f>VLOOKUP(LEFT($A113,4),'Auto Responses'!$N$4:$O$38,2,0)&amp;""</f>
        <v xml:space="preserve"> Privacy and AI</v>
      </c>
      <c r="B112" s="22"/>
      <c r="C112" s="31"/>
      <c r="D112" s="31"/>
      <c r="E112" s="327"/>
      <c r="F112" s="129" t="s">
        <v>632</v>
      </c>
      <c r="G112" s="331" t="s">
        <v>627</v>
      </c>
      <c r="H112" s="331" t="s">
        <v>628</v>
      </c>
      <c r="I112" s="331" t="s">
        <v>629</v>
      </c>
      <c r="J112" s="331" t="s">
        <v>630</v>
      </c>
      <c r="K112" s="31"/>
    </row>
    <row r="113" spans="1:12" s="29" customFormat="1" ht="409.5" x14ac:dyDescent="0.25">
      <c r="A113" s="19" t="s">
        <v>574</v>
      </c>
      <c r="B113" s="18" t="str">
        <f>VLOOKUP($A113,Questions!$A$2:$X$333,2,0)</f>
        <v>Does your service use AI for the processing of institutional data?</v>
      </c>
      <c r="C113" s="45" t="str">
        <f>VLOOKUP($A113,Privacy!$A$13:$E$97,3,0)&amp;""</f>
        <v>Yes</v>
      </c>
      <c r="D113" s="34" t="str">
        <f>IF(LEFT(VLOOKUP($A113,Privacy!$A$13:$E$97,5,0),21)='Auto Responses'!$A$32,'Auto Responses'!$A$33,VLOOKUP($A113,Privacy!$A$13:$E$97,4,0))&amp;""</f>
        <v>AI processing of institutional data occurs only where the institution enables it. All AI capabilities are disabled by default and must be explicitly activated; activation can be restricted to authorised users through administrative control and role-based access. The capabilities available are optical character recognition, identification of potential personal data within content, image description, audio and video transcription, and metadata quality checking; availability depends on product edition and configuration. Optical character recognition, identification of potential personal data, audio and video transcription, and metadata quality checking run entirely within the Preservica SaaS boundary using open-source models operated by Preservica, so no institutional data is sent to a third-party AI service for those capabilities. Image description uses the enterprise AI services of the same cloud provider that already hosts the institution's environment, on an inference-only, stateless basis. In all cases outputs are presented for human review rather than acted upon autonomously.</v>
      </c>
      <c r="E113" s="326" t="str">
        <f>VLOOKUP($A113,Privacy!$A$13:$E$97,5,0)&amp;""</f>
        <v>Describe how your service uses AI to process institutional data. Include the types of data involved, the purpose of AI usage, and any decision-making roles AI plays.</v>
      </c>
      <c r="F113" s="184"/>
      <c r="G113" s="30" t="str">
        <f>VLOOKUP($A113,Questions!$A$2:$X$333,21,0)&amp;""</f>
        <v>No</v>
      </c>
      <c r="H113" s="181"/>
      <c r="I113" s="45" t="str">
        <f>VLOOKUP($A113,Questions!$A$2:$X$333,23,0)&amp;""</f>
        <v>Standard Importance</v>
      </c>
      <c r="J113" s="181"/>
      <c r="K113" s="48" t="b">
        <v>0</v>
      </c>
      <c r="L113" s="1"/>
    </row>
    <row r="114" spans="1:12" s="29" customFormat="1" ht="409.5" x14ac:dyDescent="0.25">
      <c r="A114" s="19" t="s">
        <v>575</v>
      </c>
      <c r="B114" s="18" t="str">
        <f>VLOOKUP($A114,Questions!$A$2:$X$333,2,0)</f>
        <v>Is any institutional data retained in AI processing?*</v>
      </c>
      <c r="C114" s="45" t="str">
        <f>VLOOKUP($A114,Privacy!$A$13:$E$97,3,0)&amp;""</f>
        <v>No</v>
      </c>
      <c r="D114" s="34" t="str">
        <f>IF(LEFT(VLOOKUP($A114,Privacy!$A$13:$E$97,5,0),21)='Auto Responses'!$A$32,'Auto Responses'!$A$33,VLOOKUP($A114,Privacy!$A$13:$E$97,4,0))&amp;""</f>
        <v>No institutional data is retained by the AI models or services that process it. For optical character recognition, identification of potential personal data, and audio and video transcription, processing takes place entirely within the Preservica SaaS boundary using open-source models operated by Preservica, so no data leaves the institution's environment. For image description, processing is performed by the enterprise AI services of the same cloud provider that hosts the institution's environment, under inference-only, stateless terms; inputs and outputs are not retained by the model and are not used for training. Institutional data is not used to train or fine-tune any AI model. Outputs generated by AI processing, such as extracted text, transcripts, image descriptions and flags for potential personal data, are written back into the institution's own tenancy as content or metadata, where they remain under the institution's control and within the contracted data residency region.</v>
      </c>
      <c r="E114" s="326" t="str">
        <f>VLOOKUP($A114,Privacy!$A$13:$E$97,5,0)&amp;""</f>
        <v>Evaluate the vendor's data retention practices for compliance with institutional policies. Request clarification on retention periods and data security if needed.</v>
      </c>
      <c r="F114" s="184"/>
      <c r="G114" s="30" t="str">
        <f>VLOOKUP($A114,Questions!$A$2:$X$333,21,0)&amp;""</f>
        <v>No</v>
      </c>
      <c r="H114" s="181"/>
      <c r="I114" s="45" t="str">
        <f>VLOOKUP($A114,Questions!$A$2:$X$333,23,0)&amp;""</f>
        <v>Critical Importance</v>
      </c>
      <c r="J114" s="181"/>
      <c r="K114" s="48" t="b">
        <v>0</v>
      </c>
      <c r="L114" s="1"/>
    </row>
    <row r="115" spans="1:12" s="29" customFormat="1" ht="409.5" x14ac:dyDescent="0.25">
      <c r="A115" s="19" t="s">
        <v>577</v>
      </c>
      <c r="B115" s="18" t="str">
        <f>VLOOKUP($A115,Questions!$A$2:$X$333,2,0)</f>
        <v>Do you have agreements in place with third parties or subprocessors regarding the protection of customer data and use of AI?*</v>
      </c>
      <c r="C115" s="45" t="str">
        <f>VLOOKUP($A115,Privacy!$A$13:$E$97,3,0)&amp;""</f>
        <v>Yes</v>
      </c>
      <c r="D115" s="34" t="str">
        <f>IF(LEFT(VLOOKUP($A115,Privacy!$A$13:$E$97,5,0),21)='Auto Responses'!$A$32,'Auto Responses'!$A$33,VLOOKUP($A115,Privacy!$A$13:$E$97,4,0))&amp;""</f>
        <v>Preservica's sub-processors are AWS or Microsoft Azure, as specified in the institution's Order Form, together with Cloudflare for Professional edition and above; Preservica accepts responsibility for its sub-processors under its standard Terms and Conditions. Where the optional image description capability is enabled, the AI services used are those of the same cloud provider already hosting the institution's environment, engaged under inference-only, no-training, stateless-processing terms, and used consistently with the institution's contracted data residency. Those providers' certifications, including ISO/IEC 27001 and SOC reports, are reviewed by Preservica at least annually under its Critical Supplier Review process. All other AI capabilities run on models operated by Preservica within its own SaaS boundary, so no third-party AI service is involved.</v>
      </c>
      <c r="E115" s="326" t="str">
        <f>VLOOKUP($A115,Privacy!$A$13:$E$97,5,0)&amp;""</f>
        <v>List all subprocessors and describe the agreements in place regarding AI and data protection.</v>
      </c>
      <c r="F115" s="184"/>
      <c r="G115" s="30" t="str">
        <f>VLOOKUP($A115,Questions!$A$2:$X$333,21,0)&amp;""</f>
        <v>Yes</v>
      </c>
      <c r="H115" s="181"/>
      <c r="I115" s="45" t="str">
        <f>VLOOKUP($A115,Questions!$A$2:$X$333,23,0)&amp;""</f>
        <v>Critical Importance</v>
      </c>
      <c r="J115" s="181"/>
      <c r="K115" s="48" t="b">
        <v>0</v>
      </c>
      <c r="L115" s="1"/>
    </row>
    <row r="116" spans="1:12" s="29" customFormat="1" ht="409.5" x14ac:dyDescent="0.25">
      <c r="A116" s="19" t="s">
        <v>579</v>
      </c>
      <c r="B116" s="18" t="str">
        <f>VLOOKUP($A116,Questions!$A$2:$X$333,2,0)</f>
        <v>Will institutional data be processed through a third party or subprocessor that also uses AI?</v>
      </c>
      <c r="C116" s="45" t="str">
        <f>VLOOKUP($A116,Privacy!$A$13:$E$97,3,0)&amp;""</f>
        <v>Yes</v>
      </c>
      <c r="D116" s="34" t="str">
        <f>IF(LEFT(VLOOKUP($A116,Privacy!$A$13:$E$97,5,0),21)='Auto Responses'!$A$32,'Auto Responses'!$A$33,VLOOKUP($A116,Privacy!$A$13:$E$97,4,0))&amp;""</f>
        <v>This applies only where the institution enables the optional image description capability. In that case, content is processed by the enterprise AI services of the same cloud provider that already hosts the institution's environment — AWS or Microsoft Azure as specified in the Order Form — engaged under inference-only, no-training, stateless-processing terms, consistent with the institution's contracted data residency region. No new sub-processor is introduced. Inputs and outputs are not retained by the model and are not used for training. All other AI capabilities, including optical character recognition, identification of potential personal data, and audio and video transcription, run on open-source models operated by Preservica entirely within the Preservica SaaS boundary, with no third-party AI service involved. All AI capabilities are disabled by default and require explicit activation by the institution.</v>
      </c>
      <c r="E116" s="326" t="str">
        <f>VLOOKUP($A116,Privacy!$A$13:$E$97,5,0)&amp;""</f>
        <v>Identify third-party AI processors and describe their role and safeguards.</v>
      </c>
      <c r="F116" s="184"/>
      <c r="G116" s="30" t="str">
        <f>VLOOKUP($A116,Questions!$A$2:$X$333,21,0)&amp;""</f>
        <v>No</v>
      </c>
      <c r="H116" s="181"/>
      <c r="I116" s="45" t="str">
        <f>VLOOKUP($A116,Questions!$A$2:$X$333,23,0)&amp;""</f>
        <v>Standard Importance</v>
      </c>
      <c r="J116" s="181"/>
      <c r="K116" s="48" t="b">
        <v>0</v>
      </c>
      <c r="L116" s="1"/>
    </row>
    <row r="117" spans="1:12" s="29" customFormat="1" ht="409.5" x14ac:dyDescent="0.25">
      <c r="A117" s="19" t="s">
        <v>581</v>
      </c>
      <c r="B117" s="18" t="str">
        <f>VLOOKUP($A117,Questions!$A$2:$X$333,2,0)</f>
        <v>Is AI processing limited to fully licensed commercial enterprise AI services?</v>
      </c>
      <c r="C117" s="45" t="str">
        <f>VLOOKUP($A117,Privacy!$A$13:$E$97,3,0)&amp;""</f>
        <v>No</v>
      </c>
      <c r="D117" s="34" t="str">
        <f>IF(LEFT(VLOOKUP($A117,Privacy!$A$13:$E$97,5,0),21)='Auto Responses'!$A$32,'Auto Responses'!$A$33,VLOOKUP($A117,Privacy!$A$13:$E$97,4,0))&amp;""</f>
        <v>AI processing is not limited to commercially licensed AI services, and deliberately so. Optical character recognition, identification of potential personal data, and audio and video transcription are performed using established open-source models that Preservica operates itself, entirely within the Preservica SaaS boundary; because no third-party AI service is involved, institutional data does not leave the environment for those capabilities. The models are used for inference only, exactly as published by their originators; Preservica does not supplement or alter their training data, and institutional data is never used to train or fine-tune them. Image description is the one capability that uses an external service, and it uses the enterprise AI services of the same cloud provider that already hosts the institution's environment, under inference-only, no-training, stateless-processing terms. All AI capabilities are disabled by default and require explicit activation by the institution.</v>
      </c>
      <c r="E117" s="326" t="str">
        <f>VLOOKUP($A117,Privacy!$A$13:$E$97,5,0)&amp;""</f>
        <v>Provide names of services used and license types. Note whether open-source or experimental tools are used.</v>
      </c>
      <c r="F117" s="184"/>
      <c r="G117" s="30" t="str">
        <f>VLOOKUP($A117,Questions!$A$2:$X$333,21,0)&amp;""</f>
        <v>Yes</v>
      </c>
      <c r="H117" s="181"/>
      <c r="I117" s="45" t="str">
        <f>VLOOKUP($A117,Questions!$A$2:$X$333,23,0)&amp;""</f>
        <v>Minor Importance</v>
      </c>
      <c r="J117" s="181"/>
      <c r="K117" s="48" t="b">
        <v>0</v>
      </c>
      <c r="L117" s="1"/>
    </row>
    <row r="118" spans="1:12" s="29" customFormat="1" ht="409.5" x14ac:dyDescent="0.25">
      <c r="A118" s="19" t="s">
        <v>583</v>
      </c>
      <c r="B118" s="18" t="str">
        <f>VLOOKUP($A118,Questions!$A$2:$X$333,2,0)</f>
        <v>Will institutional data be used or processed by any shared AI services?</v>
      </c>
      <c r="C118" s="45" t="str">
        <f>VLOOKUP($A118,Privacy!$A$13:$E$97,3,0)&amp;""</f>
        <v>No</v>
      </c>
      <c r="D118" s="34" t="str">
        <f>IF(LEFT(VLOOKUP($A118,Privacy!$A$13:$E$97,5,0),21)='Auto Responses'!$A$32,'Auto Responses'!$A$33,VLOOKUP($A118,Privacy!$A$13:$E$97,4,0))&amp;""</f>
        <v>Institutional data is not processed by consumer, public or general-purpose shared AI services. Optical character recognition, identification of potential personal data, and audio and video transcription run on models Preservica operates within its own SaaS boundary. Where the institution enables image description, processing is performed by the enterprise AI services of the same cloud provider that already hosts the institution's environment, under inference-only, no-training, stateless-processing terms. In all cases AI processing is logically isolated per institution with no cross-tenant access, data is encrypted in transit and at rest, inputs and outputs are not retained by the model, and institutional data is never used to train or fine-tune any model. The cloud provider's AI services are additionally covered by that provider's own certifications, including ISO/IEC 27001 and SOC reports.</v>
      </c>
      <c r="E118" s="326" t="str">
        <f>VLOOKUP($A118,Privacy!$A$13:$E$97,5,0)&amp;""</f>
        <v>Provide detailed response to the type of data needed for the AI service to function appropriately, the sources of the data, and whether any data shared with the AI service comes from data sources outside the institution.</v>
      </c>
      <c r="F118" s="184"/>
      <c r="G118" s="30" t="str">
        <f>VLOOKUP($A118,Questions!$A$2:$X$333,21,0)&amp;""</f>
        <v>No</v>
      </c>
      <c r="H118" s="181"/>
      <c r="I118" s="45" t="str">
        <f>VLOOKUP($A118,Questions!$A$2:$X$333,23,0)&amp;""</f>
        <v>Minor Importance</v>
      </c>
      <c r="J118" s="181"/>
      <c r="K118" s="48" t="b">
        <v>0</v>
      </c>
      <c r="L118" s="1"/>
    </row>
    <row r="119" spans="1:12" s="29" customFormat="1" ht="409.5" x14ac:dyDescent="0.25">
      <c r="A119" s="19" t="s">
        <v>585</v>
      </c>
      <c r="B119" s="18" t="str">
        <f>VLOOKUP($A119,Questions!$A$2:$X$333,2,0)</f>
        <v>Do you have safeguards in place to protect institutional data and data privacy from unintended AI queries or processing?</v>
      </c>
      <c r="C119" s="45" t="str">
        <f>VLOOKUP($A119,Privacy!$A$13:$E$97,3,0)&amp;""</f>
        <v>Yes</v>
      </c>
      <c r="D119" s="34" t="str">
        <f>IF(LEFT(VLOOKUP($A119,Privacy!$A$13:$E$97,5,0),21)='Auto Responses'!$A$32,'Auto Responses'!$A$33,VLOOKUP($A119,Privacy!$A$13:$E$97,4,0))&amp;""</f>
        <v>Several controls apply. AI capabilities are disabled by default and must be explicitly activated by the institution, so no AI processing occurs without a deliberate decision. Access to AI capabilities can be restricted to specific users through administrative control and role-based access, so use can be confined to authorised staff and defined use cases. Capabilities are limited to clearly defined archival use cases rather than open-ended prompting, which materially constrains prompt injection and similar AI-specific risks, and configuration controls and human oversight of outputs are retained throughout. AI processing is logically isolated per institution with no cross-tenant access, and data is encrypted in transit and at rest. Standard operational logging and monitoring apply to AI processing, consistent with the platform's wider security practices. Preservica acts as a Deployer rather than a Provider of AI systems under Regulation (EU) 2024/1689, applying safeguards, maintaining staff AI literacy, and retaining human oversight.</v>
      </c>
      <c r="E119" s="326" t="str">
        <f>VLOOKUP($A119,Privacy!$A$13:$E$97,5,0)&amp;""</f>
        <v>Explain any data minimization processes used to exclude institutional data from AI algorithm or training, etc.</v>
      </c>
      <c r="F119" s="184"/>
      <c r="G119" s="30" t="str">
        <f>VLOOKUP($A119,Questions!$A$2:$X$333,21,0)&amp;""</f>
        <v>Yes</v>
      </c>
      <c r="H119" s="181"/>
      <c r="I119" s="45" t="str">
        <f>VLOOKUP($A119,Questions!$A$2:$X$333,23,0)&amp;""</f>
        <v>Minor Importance</v>
      </c>
      <c r="J119" s="181"/>
      <c r="K119" s="48" t="b">
        <v>0</v>
      </c>
      <c r="L119" s="1"/>
    </row>
    <row r="120" spans="1:12" s="29" customFormat="1" ht="315" x14ac:dyDescent="0.25">
      <c r="A120" s="19" t="s">
        <v>587</v>
      </c>
      <c r="B120" s="18" t="str">
        <f>VLOOKUP($A120,Questions!$A$2:$X$333,2,0)</f>
        <v>Do you provide choice to the user to opt out of AI use?</v>
      </c>
      <c r="C120" s="45" t="str">
        <f>VLOOKUP($A120,Privacy!$A$13:$E$97,3,0)&amp;""</f>
        <v>Yes</v>
      </c>
      <c r="D120" s="34" t="str">
        <f>IF(LEFT(VLOOKUP($A120,Privacy!$A$13:$E$97,5,0),21)='Auto Responses'!$A$32,'Auto Responses'!$A$33,VLOOKUP($A120,Privacy!$A$13:$E$97,4,0))&amp;""</f>
        <v>AI use is opt-in rather than opt-out. All AI capabilities are disabled by default and no AI processing takes place unless the institution explicitly enables it, so no opt-out is required. Where an institution does enable a capability, access to it can be restricted to specific authorised users through administrative control and role-based access, and outputs are presented for human review rather than acted upon autonomously.</v>
      </c>
      <c r="E120" s="326" t="str">
        <f>VLOOKUP($A120,Privacy!$A$13:$E$97,5,0)&amp;""</f>
        <v>Provide the language used for a user to opt-out or consent to the use of AI</v>
      </c>
      <c r="F120" s="184"/>
      <c r="G120" s="30" t="str">
        <f>VLOOKUP($A120,Questions!$A$2:$X$333,21,0)&amp;""</f>
        <v>Yes</v>
      </c>
      <c r="H120" s="181"/>
      <c r="I120" s="45" t="str">
        <f>VLOOKUP($A120,Questions!$A$2:$X$333,23,0)&amp;""</f>
        <v>Minor Importance</v>
      </c>
      <c r="J120" s="181"/>
      <c r="K120" s="48" t="b">
        <v>0</v>
      </c>
      <c r="L120" s="1"/>
    </row>
    <row r="121" spans="1:12" ht="15" x14ac:dyDescent="0.3"/>
    <row r="122" spans="1:12" ht="15" x14ac:dyDescent="0.3"/>
    <row r="123" spans="1:12" s="1" customFormat="1" ht="18" thickBot="1" x14ac:dyDescent="0.3">
      <c r="A123" s="214" t="s">
        <v>658</v>
      </c>
      <c r="B123" s="215"/>
      <c r="C123" s="216"/>
      <c r="D123" s="216"/>
      <c r="E123" s="216"/>
      <c r="F123" s="217"/>
      <c r="G123" s="216"/>
      <c r="H123" s="216"/>
      <c r="I123" s="216"/>
      <c r="J123" s="216"/>
      <c r="K123" s="216"/>
    </row>
    <row r="124" spans="1:12" s="29" customFormat="1" ht="30.5" thickBot="1" x14ac:dyDescent="0.3">
      <c r="A124" s="26" t="s">
        <v>624</v>
      </c>
      <c r="B124" s="27" t="s">
        <v>625</v>
      </c>
      <c r="C124" s="27" t="s">
        <v>657</v>
      </c>
      <c r="D124" s="28" t="s">
        <v>22</v>
      </c>
      <c r="E124" s="27" t="s">
        <v>23</v>
      </c>
      <c r="F124" s="183" t="s">
        <v>24</v>
      </c>
      <c r="G124" s="46" t="s">
        <v>627</v>
      </c>
      <c r="H124" s="43" t="s">
        <v>628</v>
      </c>
      <c r="I124" s="43" t="s">
        <v>629</v>
      </c>
      <c r="J124" s="44" t="s">
        <v>630</v>
      </c>
      <c r="K124" s="47" t="s">
        <v>631</v>
      </c>
      <c r="L124" s="1"/>
    </row>
    <row r="125" spans="1:12" s="1" customFormat="1" ht="17.5" x14ac:dyDescent="0.25">
      <c r="A125" s="63" t="str">
        <f>VLOOKUP(LEFT($A126,4),'Auto Responses'!$N$4:$O$38,2,0)&amp;""</f>
        <v xml:space="preserve"> Company Information</v>
      </c>
      <c r="B125" s="22"/>
      <c r="C125" s="31"/>
      <c r="D125" s="31"/>
      <c r="E125" s="31"/>
      <c r="F125" s="129" t="s">
        <v>632</v>
      </c>
      <c r="G125" s="31"/>
      <c r="H125" s="31"/>
      <c r="I125" s="31"/>
      <c r="J125" s="31"/>
      <c r="K125" s="31"/>
    </row>
    <row r="126" spans="1:12" s="29" customFormat="1" ht="409.5" x14ac:dyDescent="0.3">
      <c r="A126" s="19" t="s">
        <v>25</v>
      </c>
      <c r="B126" s="18" t="str">
        <f>VLOOKUP($A126,Questions!$A$2:$X$333,2,0)</f>
        <v>Do you have a dedicated software and system development team(s) (e.g., customer support, implementation, product management, etc.)?*</v>
      </c>
      <c r="C126" s="45" t="str">
        <f>VLOOKUP($A126,'Institution Evaluation'!$A$56:$K$345,3,0)&amp;""</f>
        <v>Yes</v>
      </c>
      <c r="D126" s="45" t="str">
        <f>VLOOKUP($A126,'Institution Evaluation'!$A$56:$K$345,4,0)&amp;""</f>
        <v>Preservica maintains dedicated and separate Software Development, Quality Assurance, Customer Support, Implementation (Customer Success) and Product Management teams. All product development, testing and quality assurance is performed by Preservica personnel located in the United Kingdom and the United States; Preservica does not use outsourced or offshore development. Development, testing and QA activity is governed by Preservica's Secure Development Policy, which applies to all employees, contractors and sub-contractors performing that work. Preservica does not publish team sizes.</v>
      </c>
      <c r="E126" s="326" t="str">
        <f>VLOOKUP($A126,'Institution Evaluation'!$A$56:$K$345,5,0)&amp;""</f>
        <v>Describe the structure and size of your software and system development teams. (e.g., customer support, implementation, product management, etc.).</v>
      </c>
      <c r="F126" s="184" t="str">
        <f>VLOOKUP($A126,'Institution Evaluation'!$A$56:$K$345,6,0)&amp;""</f>
        <v/>
      </c>
      <c r="G126" s="30" t="str">
        <f>VLOOKUP($A126,'Institution Evaluation'!$A$56:$K$345,7,0)&amp;""</f>
        <v>Yes</v>
      </c>
      <c r="H126" s="181" t="str">
        <f>VLOOKUP($A126,'Institution Evaluation'!$A$56:$K$345,8,0)&amp;""</f>
        <v/>
      </c>
      <c r="I126" s="45" t="str">
        <f>VLOOKUP($A126,'Institution Evaluation'!$A$56:$K$345,9,0)&amp;""</f>
        <v>Standard Importance</v>
      </c>
      <c r="J126" s="182" t="str">
        <f>VLOOKUP($A126,'Institution Evaluation'!$A$56:$K$345,10,0)&amp;""</f>
        <v/>
      </c>
      <c r="K126" s="48" t="str">
        <f>IF(VLOOKUP($A126,'Institution Evaluation'!$A$56:$K$345,10,0)=TRUE,'Auto Responses'!$J$3,"")</f>
        <v/>
      </c>
      <c r="L126" s="48" t="str">
        <f>IF(VLOOKUP($A126,'Institution Evaluation'!$A$56:$K$345,10,0)=TRUE,'Auto Responses'!$J$3,"")</f>
        <v/>
      </c>
    </row>
    <row r="127" spans="1:12" ht="409.5" x14ac:dyDescent="0.3">
      <c r="A127" s="19" t="s">
        <v>28</v>
      </c>
      <c r="B127" s="18" t="str">
        <f>VLOOKUP($A127,Questions!$A$2:$X$333,2,0)</f>
        <v>Describe your organization’s business background and ownership structure, including all parent and subsidiary relationships.</v>
      </c>
      <c r="C127" s="45" t="str">
        <f>VLOOKUP($A127,'Institution Evaluation'!$A$56:$K$345,3,0)&amp;""</f>
        <v/>
      </c>
      <c r="D127" s="45" t="str">
        <f>VLOOKUP($A127,'Institution Evaluation'!$A$56:$K$345,4,0)&amp;""</f>
        <v>Preservica Inc is a wholly owned subsidiary of Preservica Limited, which is based in the United Kingdom. There are no other parent or subsidiary relationships. Support and operations are provided from the United States and the United Kingdom depending on the edition selected by the customer. Addressing the multinational aspects specifically: Preservica does not use outsourced or offshore development, and all development, testing and quality assurance is performed by Preservica personnel in the United Kingdom and the United States. Customer data is stored and processed only within the geographic region specified in the Data Residency section of the customer's Order Form; this is a contractual and enforceable commitment. Where access to customer data is required it may be performed by authorised personnel based in the United Kingdom or the United States, is not routine, and is subject to access control, logging and oversight. Preservica's sub-processors are Amazon Web Services or Microsoft Azure as specified in the Order Form, together with Cloudflare for Professional edition and above; sub-processors are used in a region-dependent manner consistent with the customer's contracted data residency. Preservica accepts responsibility for its sub-processors under its standard Terms and Conditions.</v>
      </c>
      <c r="E127" s="326" t="str">
        <f>VLOOKUP($A127,'Institution Evaluation'!$A$56:$K$345,5,0)&amp;""</f>
        <v>Include circumstances that may involve offshoring or multinational agreements.</v>
      </c>
      <c r="F127" s="184" t="str">
        <f>VLOOKUP($A127,'Institution Evaluation'!$A$56:$K$345,6,0)&amp;""</f>
        <v/>
      </c>
      <c r="G127" s="30" t="str">
        <f>VLOOKUP($A127,'Institution Evaluation'!$A$56:$K$345,7,0)&amp;""</f>
        <v>Not scored</v>
      </c>
      <c r="H127" s="181" t="str">
        <f>VLOOKUP($A127,'Institution Evaluation'!$A$56:$K$345,8,0)&amp;""</f>
        <v/>
      </c>
      <c r="I127" s="45" t="str">
        <f>VLOOKUP($A127,'Institution Evaluation'!$A$56:$K$345,9,0)&amp;""</f>
        <v/>
      </c>
      <c r="J127" s="182" t="str">
        <f>VLOOKUP($A127,'Institution Evaluation'!$A$56:$K$345,10,0)&amp;""</f>
        <v/>
      </c>
      <c r="K127" s="48" t="str">
        <f>IF(VLOOKUP($A127,'Institution Evaluation'!$A$56:$K$345,10,0)=TRUE,'Auto Responses'!$J$3,"")</f>
        <v/>
      </c>
    </row>
    <row r="128" spans="1:12" ht="165" x14ac:dyDescent="0.3">
      <c r="A128" s="19" t="s">
        <v>30</v>
      </c>
      <c r="B128" s="18" t="str">
        <f>VLOOKUP($A128,Questions!$A$2:$X$333,2,0)</f>
        <v>Have you operated without unplanned disruptions to this solution in the past 12 months?</v>
      </c>
      <c r="C128" s="45" t="str">
        <f>VLOOKUP($A128,'Institution Evaluation'!$A$56:$K$345,3,0)&amp;""</f>
        <v>Yes</v>
      </c>
      <c r="D128" s="45" t="str">
        <f>VLOOKUP($A128,'Institution Evaluation'!$A$56:$K$345,4,0)&amp;""</f>
        <v>Preservica provides an Application Availability SLA of 99.5%, measured monthly and excluding planned maintenance and other agreed exclusions. Preservica has met or exceeded that SLA throughout the prior 12 months.</v>
      </c>
      <c r="E128" s="326" t="str">
        <f>VLOOKUP($A128,'Institution Evaluation'!$A$56:$K$345,5,0)&amp;""</f>
        <v/>
      </c>
      <c r="F128" s="184" t="str">
        <f>VLOOKUP($A128,'Institution Evaluation'!$A$56:$K$345,6,0)&amp;""</f>
        <v/>
      </c>
      <c r="G128" s="30" t="str">
        <f>VLOOKUP($A128,'Institution Evaluation'!$A$56:$K$345,7,0)&amp;""</f>
        <v>Yes</v>
      </c>
      <c r="H128" s="181" t="str">
        <f>VLOOKUP($A128,'Institution Evaluation'!$A$56:$K$345,8,0)&amp;""</f>
        <v/>
      </c>
      <c r="I128" s="45" t="str">
        <f>VLOOKUP($A128,'Institution Evaluation'!$A$56:$K$345,9,0)&amp;""</f>
        <v>Minor Importance</v>
      </c>
      <c r="J128" s="182" t="str">
        <f>VLOOKUP($A128,'Institution Evaluation'!$A$56:$K$345,10,0)&amp;""</f>
        <v/>
      </c>
      <c r="K128" s="48" t="str">
        <f>IF(VLOOKUP($A128,'Institution Evaluation'!$A$56:$K$345,10,0)=TRUE,'Auto Responses'!$J$3,"")</f>
        <v/>
      </c>
    </row>
    <row r="129" spans="1:11" ht="409.5" x14ac:dyDescent="0.3">
      <c r="A129" s="19" t="s">
        <v>32</v>
      </c>
      <c r="B129" s="18" t="str">
        <f>VLOOKUP($A129,Questions!$A$2:$X$333,2,0)</f>
        <v>Do you have a dedicated information security staff or office?</v>
      </c>
      <c r="C129" s="45" t="str">
        <f>VLOOKUP($A129,'Institution Evaluation'!$A$56:$K$345,3,0)&amp;""</f>
        <v>Yes</v>
      </c>
      <c r="D129" s="45" t="str">
        <f>VLOOKUP($A129,'Institution Evaluation'!$A$56:$K$345,4,0)&amp;""</f>
        <v>Preservica has a dedicated Information Security function led by the Chief Information Security Officer, who is responsible for the implementation and monitoring of Preservica's Information Security Program. Ultimate responsibility rests with the Chief Executive Officer and the Board, as documented in Preservica's approved Governance Charter. Day-to-day operation of the programme is managed by the CISO. Independent oversight is provided by Preservica's Leadership Team at an annual Management Review, by the Board annually, on an ad-hoc basis by the Leadership Team in response to changes in the environment or to incidents, and by Preservica's internal and external auditors in alignment with its certification and compliance obligations. Preservica has also appointed a Data Protection Officer, contactable at Privacy@preservica.com. Preservica does not publish the size of its Information Security function.</v>
      </c>
      <c r="E129" s="326" t="str">
        <f>VLOOKUP($A129,'Institution Evaluation'!$A$56:$K$345,5,0)&amp;""</f>
        <v>Describe your information security office, including size, talents, resources, etc.</v>
      </c>
      <c r="F129" s="184" t="str">
        <f>VLOOKUP($A129,'Institution Evaluation'!$A$56:$K$345,6,0)&amp;""</f>
        <v/>
      </c>
      <c r="G129" s="30" t="str">
        <f>VLOOKUP($A129,'Institution Evaluation'!$A$56:$K$345,7,0)&amp;""</f>
        <v>Yes</v>
      </c>
      <c r="H129" s="181" t="str">
        <f>VLOOKUP($A129,'Institution Evaluation'!$A$56:$K$345,8,0)&amp;""</f>
        <v/>
      </c>
      <c r="I129" s="45" t="str">
        <f>VLOOKUP($A129,'Institution Evaluation'!$A$56:$K$345,9,0)&amp;""</f>
        <v>Minor Importance</v>
      </c>
      <c r="J129" s="182" t="str">
        <f>VLOOKUP($A129,'Institution Evaluation'!$A$56:$K$345,10,0)&amp;""</f>
        <v/>
      </c>
      <c r="K129" s="48" t="str">
        <f>IF(VLOOKUP($A129,'Institution Evaluation'!$A$56:$K$345,10,0)=TRUE,'Auto Responses'!$J$3,"")</f>
        <v/>
      </c>
    </row>
    <row r="130" spans="1:11" s="1" customFormat="1" ht="17.5" x14ac:dyDescent="0.25">
      <c r="A130" s="63" t="str">
        <f>VLOOKUP(LEFT($A131,4),'Auto Responses'!$N$4:$O$38,2,0)&amp;""</f>
        <v xml:space="preserve"> Required Questions</v>
      </c>
      <c r="B130" s="22"/>
      <c r="C130" s="31"/>
      <c r="D130" s="31"/>
      <c r="E130" s="327"/>
      <c r="F130" s="129" t="s">
        <v>632</v>
      </c>
      <c r="G130" s="331" t="s">
        <v>627</v>
      </c>
      <c r="H130" s="331" t="s">
        <v>628</v>
      </c>
      <c r="I130" s="331" t="s">
        <v>629</v>
      </c>
      <c r="J130" s="331" t="s">
        <v>630</v>
      </c>
      <c r="K130" s="31"/>
    </row>
    <row r="131" spans="1:11" ht="330" x14ac:dyDescent="0.3">
      <c r="A131" s="19" t="s">
        <v>43</v>
      </c>
      <c r="B131" s="18" t="str">
        <f>VLOOKUP($A131,Questions!$A$2:$X$333,2,0)</f>
        <v>Does your solution have AI features, or are there plans to implement AI features in the next 12 months?</v>
      </c>
      <c r="C131" s="45" t="str">
        <f>VLOOKUP($A131,'Institution Evaluation'!$A$56:$K$345,3,0)&amp;""</f>
        <v>Yes</v>
      </c>
      <c r="D131" s="45" t="str">
        <f>VLOOKUP($A131,'Institution Evaluation'!$A$56:$K$345,4,0)&amp;""</f>
        <v>Preservica offers opt-in AI capabilities for archival workflows, including OCR, PII identification, image description, audio and video transcription, and metadata quality checks. No AI processing occurs by default — features must be explicitly enabled by the customer, and outputs are presented for human review rather than acted on autonomously. The specific features available depend on product edition and configuration.</v>
      </c>
      <c r="E131" s="326" t="str">
        <f>VLOOKUP($A131,'Institution Evaluation'!$A$56:$K$345,5,0)&amp;""</f>
        <v>DO complete the Artificial Intelligence (AI) worksheet</v>
      </c>
      <c r="F131" s="184" t="str">
        <f>VLOOKUP($A131,'Institution Evaluation'!$A$56:$K$345,6,0)&amp;""</f>
        <v/>
      </c>
      <c r="G131" s="30" t="str">
        <f>VLOOKUP($A131,'Institution Evaluation'!$A$56:$K$345,7,0)&amp;""</f>
        <v>Not scored</v>
      </c>
      <c r="H131" s="181" t="str">
        <f>VLOOKUP($A131,'Institution Evaluation'!$A$56:$K$345,8,0)&amp;""</f>
        <v/>
      </c>
      <c r="I131" s="45" t="str">
        <f>VLOOKUP($A131,'Institution Evaluation'!$A$56:$K$345,9,0)&amp;""</f>
        <v/>
      </c>
      <c r="J131" s="182" t="str">
        <f>VLOOKUP($A131,'Institution Evaluation'!$A$56:$K$345,10,0)&amp;""</f>
        <v/>
      </c>
      <c r="K131" s="48" t="str">
        <f>IF(VLOOKUP($A131,'Institution Evaluation'!$A$56:$K$345,10,0)=TRUE,'Auto Responses'!$J$3,"")</f>
        <v/>
      </c>
    </row>
    <row r="132" spans="1:11" ht="225" x14ac:dyDescent="0.3">
      <c r="A132" s="19" t="s">
        <v>45</v>
      </c>
      <c r="B132" s="18" t="str">
        <f>VLOOKUP($A132,Questions!$A$2:$X$333,2,0)</f>
        <v>Does your solution process protected health information (PHI) or any data covered by the Health Insurance Portability and Accountability Act (HIPAA)?</v>
      </c>
      <c r="C132" s="45" t="str">
        <f>VLOOKUP($A132,'Institution Evaluation'!$A$56:$K$345,3,0)&amp;""</f>
        <v>No</v>
      </c>
      <c r="D132" s="45" t="str">
        <f>VLOOKUP($A132,'Institution Evaluation'!$A$56:$K$345,4,0)&amp;""</f>
        <v>Preservica is not designed specifically for the processing of protected health information and does not currently offer a Business Associate Agreement. Customers determine what content they ingest and remain responsible for ensuring it is permitted under their own regulatory obligations.</v>
      </c>
      <c r="E132" s="326" t="str">
        <f>VLOOKUP($A132,'Institution Evaluation'!$A$56:$K$345,5,0)&amp;""</f>
        <v>DO NOT complete the HIPAA section in the Case-Specific worksheet</v>
      </c>
      <c r="F132" s="184" t="str">
        <f>VLOOKUP($A132,'Institution Evaluation'!$A$56:$K$345,6,0)&amp;""</f>
        <v/>
      </c>
      <c r="G132" s="30" t="str">
        <f>VLOOKUP($A132,'Institution Evaluation'!$A$56:$K$345,7,0)&amp;""</f>
        <v>Not scored</v>
      </c>
      <c r="H132" s="181" t="str">
        <f>VLOOKUP($A132,'Institution Evaluation'!$A$56:$K$345,8,0)&amp;""</f>
        <v/>
      </c>
      <c r="I132" s="45" t="str">
        <f>VLOOKUP($A132,'Institution Evaluation'!$A$56:$K$345,9,0)&amp;""</f>
        <v/>
      </c>
      <c r="J132" s="182" t="str">
        <f>VLOOKUP($A132,'Institution Evaluation'!$A$56:$K$345,10,0)&amp;""</f>
        <v/>
      </c>
      <c r="K132" s="48" t="str">
        <f>IF(VLOOKUP($A132,'Institution Evaluation'!$A$56:$K$345,10,0)=TRUE,'Auto Responses'!$J$3,"")</f>
        <v/>
      </c>
    </row>
    <row r="133" spans="1:11" ht="210" x14ac:dyDescent="0.3">
      <c r="A133" s="19" t="s">
        <v>47</v>
      </c>
      <c r="B133" s="18" t="str">
        <f>VLOOKUP($A133,Questions!$A$2:$X$333,2,0)</f>
        <v>Is the solution designed to process, store, or transmit credit card information?</v>
      </c>
      <c r="C133" s="45" t="str">
        <f>VLOOKUP($A133,'Institution Evaluation'!$A$56:$K$345,3,0)&amp;""</f>
        <v>No</v>
      </c>
      <c r="D133" s="45" t="str">
        <f>VLOOKUP($A133,'Institution Evaluation'!$A$56:$K$345,4,0)&amp;""</f>
        <v>The solution is not designed to process, store or transmit credit card information, and Preservica's service is not PCI-DSS compliant, as there is not normally a case for digital preservation of Cardholder Data as defined in PCI-DSS. Customers should not store any such data within the service.</v>
      </c>
      <c r="E133" s="326" t="str">
        <f>VLOOKUP($A133,'Institution Evaluation'!$A$56:$K$345,5,0)&amp;""</f>
        <v>DO NOT complete the PCI-DSS section in the Case-Specific worksheet</v>
      </c>
      <c r="F133" s="184" t="str">
        <f>VLOOKUP($A133,'Institution Evaluation'!$A$56:$K$345,6,0)&amp;""</f>
        <v/>
      </c>
      <c r="G133" s="30" t="str">
        <f>VLOOKUP($A133,'Institution Evaluation'!$A$56:$K$345,7,0)&amp;""</f>
        <v>Not scored</v>
      </c>
      <c r="H133" s="181" t="str">
        <f>VLOOKUP($A133,'Institution Evaluation'!$A$56:$K$345,8,0)&amp;""</f>
        <v/>
      </c>
      <c r="I133" s="45" t="str">
        <f>VLOOKUP($A133,'Institution Evaluation'!$A$56:$K$345,9,0)&amp;""</f>
        <v/>
      </c>
      <c r="J133" s="182" t="str">
        <f>VLOOKUP($A133,'Institution Evaluation'!$A$56:$K$345,10,0)&amp;""</f>
        <v/>
      </c>
      <c r="K133" s="48" t="str">
        <f>IF(VLOOKUP($A133,'Institution Evaluation'!$A$56:$K$345,10,0)=TRUE,'Auto Responses'!$J$3,"")</f>
        <v/>
      </c>
    </row>
    <row r="134" spans="1:11" ht="409.5" x14ac:dyDescent="0.3">
      <c r="A134" s="19" t="s">
        <v>51</v>
      </c>
      <c r="B134" s="18" t="str">
        <f>VLOOKUP($A134,Questions!$A$2:$X$333,2,0)</f>
        <v>Does your solution have access to personal or institutional data?</v>
      </c>
      <c r="C134" s="45" t="str">
        <f>VLOOKUP($A134,'Institution Evaluation'!$A$56:$K$345,3,0)&amp;""</f>
        <v>Yes</v>
      </c>
      <c r="D134" s="45" t="str">
        <f>VLOOKUP($A134,'Institution Evaluation'!$A$56:$K$345,4,0)&amp;""</f>
        <v>Preservica does not prescribe or restrict the types of data customers choose to store in the platform. Customers determine the classification and sensitivity of the data they store, and are responsible for ensuring its use complies with their own legal and regulatory obligations. In respect of customer data held in the platform, Preservica acts as Processor and processes it only to provide the contracted service, on the customer's instructions and as required by applicable law. Customers retain ownership and control of their data at all times.</v>
      </c>
      <c r="E134" s="326" t="str">
        <f>VLOOKUP($A134,'Institution Evaluation'!$A$56:$K$345,5,0)&amp;""</f>
        <v>DO complete the Privacy tab</v>
      </c>
      <c r="F134" s="184" t="str">
        <f>VLOOKUP($A134,'Institution Evaluation'!$A$56:$K$345,6,0)&amp;""</f>
        <v/>
      </c>
      <c r="G134" s="30" t="str">
        <f>VLOOKUP($A134,'Institution Evaluation'!$A$56:$K$345,7,0)&amp;""</f>
        <v>Not scored</v>
      </c>
      <c r="H134" s="181" t="str">
        <f>VLOOKUP($A134,'Institution Evaluation'!$A$56:$K$345,8,0)&amp;""</f>
        <v/>
      </c>
      <c r="I134" s="45" t="str">
        <f>VLOOKUP($A134,'Institution Evaluation'!$A$56:$K$345,9,0)&amp;""</f>
        <v/>
      </c>
      <c r="J134" s="182" t="str">
        <f>VLOOKUP($A134,'Institution Evaluation'!$A$56:$K$345,10,0)&amp;""</f>
        <v/>
      </c>
      <c r="K134" s="48" t="str">
        <f>IF(VLOOKUP($A134,'Institution Evaluation'!$A$56:$K$345,10,0)=TRUE,'Auto Responses'!$J$3,"")</f>
        <v/>
      </c>
    </row>
    <row r="135" spans="1:11" s="1" customFormat="1" ht="17.5" x14ac:dyDescent="0.25">
      <c r="A135" s="63" t="str">
        <f>VLOOKUP(LEFT($A136,4),'Auto Responses'!$N$4:$O$38,2,0)&amp;""</f>
        <v xml:space="preserve"> Documentation</v>
      </c>
      <c r="B135" s="22"/>
      <c r="C135" s="31"/>
      <c r="D135" s="31"/>
      <c r="E135" s="327"/>
      <c r="F135" s="129" t="s">
        <v>632</v>
      </c>
      <c r="G135" s="331" t="s">
        <v>627</v>
      </c>
      <c r="H135" s="331" t="s">
        <v>628</v>
      </c>
      <c r="I135" s="331" t="s">
        <v>629</v>
      </c>
      <c r="J135" s="331" t="s">
        <v>630</v>
      </c>
      <c r="K135" s="31"/>
    </row>
    <row r="136" spans="1:11" ht="409.5" x14ac:dyDescent="0.3">
      <c r="A136" s="19" t="s">
        <v>56</v>
      </c>
      <c r="B136" s="18" t="str">
        <f>VLOOKUP($A136,Questions!$A$2:$X$333,2,0)</f>
        <v>Do you have a well-documented business continuity plan (BCP), with a clear owner, that is tested annually?*</v>
      </c>
      <c r="C136" s="45" t="str">
        <f>VLOOKUP($A136,'Institution Evaluation'!$A$56:$K$345,3,0)&amp;""</f>
        <v>Yes</v>
      </c>
      <c r="D136" s="45" t="str">
        <f>VLOOKUP($A136,'Institution Evaluation'!$A$56:$K$345,4,0)&amp;""</f>
        <v>Preservica maintains a documented Business Continuity Plan. Ownership: business continuity is overseen by the Chief Financial Officer, supported by the CISO, with ultimate responsibility resting with the Chief Executive Officer and the Board. Testing: the plan is tested at least annually, either as a tabletop exercise or as a live/technical exercise; where the plan has been invoked in response to a real event, that event may be used in place of a scheduled exercise. The plan is updated following any test that produces findings and is in any case reviewed and updated at least annually. Business continuity falls within the scope of Preservica's ISO/IEC 27001:2022 certification and is independently tested as part of Preservica's SOC 2 Type II audit.</v>
      </c>
      <c r="E136" s="326" t="str">
        <f>VLOOKUP($A136,'Institution Evaluation'!$A$56:$K$345,5,0)&amp;""</f>
        <v/>
      </c>
      <c r="F136" s="184" t="str">
        <f>VLOOKUP($A136,'Institution Evaluation'!$A$56:$K$345,6,0)&amp;""</f>
        <v/>
      </c>
      <c r="G136" s="30" t="str">
        <f>VLOOKUP($A136,'Institution Evaluation'!$A$56:$K$345,7,0)&amp;""</f>
        <v>Yes</v>
      </c>
      <c r="H136" s="181" t="str">
        <f>VLOOKUP($A136,'Institution Evaluation'!$A$56:$K$345,8,0)&amp;""</f>
        <v/>
      </c>
      <c r="I136" s="45" t="str">
        <f>VLOOKUP($A136,'Institution Evaluation'!$A$56:$K$345,9,0)&amp;""</f>
        <v>Critical Importance</v>
      </c>
      <c r="J136" s="182" t="str">
        <f>VLOOKUP($A136,'Institution Evaluation'!$A$56:$K$345,10,0)&amp;""</f>
        <v/>
      </c>
      <c r="K136" s="48" t="str">
        <f>IF(VLOOKUP($A136,'Institution Evaluation'!$A$56:$K$345,10,0)=TRUE,'Auto Responses'!$J$3,"")</f>
        <v/>
      </c>
    </row>
    <row r="137" spans="1:11" ht="409.5" x14ac:dyDescent="0.3">
      <c r="A137" s="19" t="s">
        <v>60</v>
      </c>
      <c r="B137" s="18" t="str">
        <f>VLOOKUP($A137,Questions!$A$2:$X$333,2,0)</f>
        <v>Have you undergone a SSAE 18/SOC 2 audit?</v>
      </c>
      <c r="C137" s="45" t="str">
        <f>VLOOKUP($A137,'Institution Evaluation'!$A$56:$K$345,3,0)&amp;""</f>
        <v>Yes</v>
      </c>
      <c r="D137" s="45" t="str">
        <f>VLOOKUP($A137,'Institution Evaluation'!$A$56:$K$345,4,0)&amp;""</f>
        <v>Preservica undergoes an annual SOC 2 Type II audit. The report period runs from October to September each year, and the current report is available on request via Preservica's Trust Center at https://preservica.com/trust-center. The subject of the audit is Preservica and the Preservica service. Preservica's cloud infrastructure providers, Amazon Web Services and Microsoft Azure, are audited separately under their own independently audited certifications and attestations, which Preservica reviews at least annually as part of its critical supplier review process; Preservica does not operate its own data centres.</v>
      </c>
      <c r="E137" s="326" t="str">
        <f>VLOOKUP($A137,'Institution Evaluation'!$A$56:$K$345,5,0)&amp;""</f>
        <v>Provide the date of assessment and include a SOC 2 Type 2 (preferred) or SOC 3 report. If you have a SOC 3 report, state how to obtain a copy. Indicate if your hosting provider was the subject of the audit.</v>
      </c>
      <c r="F137" s="184" t="str">
        <f>VLOOKUP($A137,'Institution Evaluation'!$A$56:$K$345,6,0)&amp;""</f>
        <v/>
      </c>
      <c r="G137" s="30" t="str">
        <f>VLOOKUP($A137,'Institution Evaluation'!$A$56:$K$345,7,0)&amp;""</f>
        <v>Yes</v>
      </c>
      <c r="H137" s="181" t="str">
        <f>VLOOKUP($A137,'Institution Evaluation'!$A$56:$K$345,8,0)&amp;""</f>
        <v/>
      </c>
      <c r="I137" s="45" t="str">
        <f>VLOOKUP($A137,'Institution Evaluation'!$A$56:$K$345,9,0)&amp;""</f>
        <v>Standard Importance</v>
      </c>
      <c r="J137" s="182" t="str">
        <f>VLOOKUP($A137,'Institution Evaluation'!$A$56:$K$345,10,0)&amp;""</f>
        <v/>
      </c>
      <c r="K137" s="48" t="str">
        <f>IF(VLOOKUP($A137,'Institution Evaluation'!$A$56:$K$345,10,0)=TRUE,'Auto Responses'!$J$3,"")</f>
        <v/>
      </c>
    </row>
    <row r="138" spans="1:11" ht="409.5" x14ac:dyDescent="0.3">
      <c r="A138" s="19" t="s">
        <v>62</v>
      </c>
      <c r="B138" s="18" t="str">
        <f>VLOOKUP($A138,Questions!$A$2:$X$333,2,0)</f>
        <v>Do you conform with a specific industry standard security framework (e.g., NIST Cybersecurity Framework, CIS Controls, ISO 27001, etc.)?</v>
      </c>
      <c r="C138" s="45" t="str">
        <f>VLOOKUP($A138,'Institution Evaluation'!$A$56:$K$345,3,0)&amp;""</f>
        <v>Yes</v>
      </c>
      <c r="D138" s="45" t="str">
        <f>VLOOKUP($A138,'Institution Evaluation'!$A$56:$K$345,4,0)&amp;""</f>
        <v>Preservica conforms to ISO/IEC 27001:2022 for information security management and ISO 9001:2015 for quality management, and holds UK NCSC Cyber Essentials and Cyber Essentials Plus certification. Preservica also holds TX-RAMP and AZRAMP certifications under the respective US state cloud security programmes, and undergoes an annual SOC 2 Type II audit. Preservica's Information Security Management System is supported by a documented policy library with an assigned Owner and Approver for every policy and procedure; all policies and procedures are reviewed at least annually, on material change to the environment, or in response to an incident. All of Preservica's accreditations, certifications and reports are available from Preservica's Trust Center at https://preservica.com/trust-center.</v>
      </c>
      <c r="E138" s="326" t="str">
        <f>VLOOKUP($A138,'Institution Evaluation'!$A$56:$K$345,5,0)&amp;""</f>
        <v>Provide documentation on how your organization conforms to your chosen framework and indicate current certification levels, where appropriate.</v>
      </c>
      <c r="F138" s="184" t="str">
        <f>VLOOKUP($A138,'Institution Evaluation'!$A$56:$K$345,6,0)&amp;""</f>
        <v/>
      </c>
      <c r="G138" s="30" t="str">
        <f>VLOOKUP($A138,'Institution Evaluation'!$A$56:$K$345,7,0)&amp;""</f>
        <v>Yes</v>
      </c>
      <c r="H138" s="181" t="str">
        <f>VLOOKUP($A138,'Institution Evaluation'!$A$56:$K$345,8,0)&amp;""</f>
        <v/>
      </c>
      <c r="I138" s="45" t="str">
        <f>VLOOKUP($A138,'Institution Evaluation'!$A$56:$K$345,9,0)&amp;""</f>
        <v>Standard Importance</v>
      </c>
      <c r="J138" s="182" t="str">
        <f>VLOOKUP($A138,'Institution Evaluation'!$A$56:$K$345,10,0)&amp;""</f>
        <v/>
      </c>
      <c r="K138" s="48" t="str">
        <f>IF(VLOOKUP($A138,'Institution Evaluation'!$A$56:$K$345,10,0)=TRUE,'Auto Responses'!$J$3,"")</f>
        <v/>
      </c>
    </row>
    <row r="139" spans="1:11" ht="255" x14ac:dyDescent="0.3">
      <c r="A139" s="19" t="s">
        <v>64</v>
      </c>
      <c r="B139" s="18" t="str">
        <f>VLOOKUP($A139,Questions!$A$2:$X$333,2,0)</f>
        <v>Can you provide overall system and/or application architecture diagrams, including a full description of the data flow for all components of the system?</v>
      </c>
      <c r="C139" s="45" t="str">
        <f>VLOOKUP($A139,'Institution Evaluation'!$A$56:$K$345,3,0)&amp;""</f>
        <v>Yes</v>
      </c>
      <c r="D139" s="45" t="str">
        <f>VLOOKUP($A139,'Institution Evaluation'!$A$56:$K$345,4,0)&amp;""</f>
        <v>High-level architecture and security architecture diagrams can be shared with prospective customers under a non-disclosure agreement, or with existing customers under the right-to-audit provisions of their agreement. Detailed data-flow documentation is not provided. Requests should be directed to Information.Security@preservica.com.</v>
      </c>
      <c r="E139" s="326" t="str">
        <f>VLOOKUP($A139,'Institution Evaluation'!$A$56:$K$345,5,0)&amp;""</f>
        <v>Provide your diagrams (or a valid link to it) upon submission.</v>
      </c>
      <c r="F139" s="184" t="str">
        <f>VLOOKUP($A139,'Institution Evaluation'!$A$56:$K$345,6,0)&amp;""</f>
        <v/>
      </c>
      <c r="G139" s="30" t="str">
        <f>VLOOKUP($A139,'Institution Evaluation'!$A$56:$K$345,7,0)&amp;""</f>
        <v>Yes</v>
      </c>
      <c r="H139" s="181" t="str">
        <f>VLOOKUP($A139,'Institution Evaluation'!$A$56:$K$345,8,0)&amp;""</f>
        <v/>
      </c>
      <c r="I139" s="45" t="str">
        <f>VLOOKUP($A139,'Institution Evaluation'!$A$56:$K$345,9,0)&amp;""</f>
        <v>Standard Importance</v>
      </c>
      <c r="J139" s="182" t="str">
        <f>VLOOKUP($A139,'Institution Evaluation'!$A$56:$K$345,10,0)&amp;""</f>
        <v/>
      </c>
      <c r="K139" s="48" t="str">
        <f>IF(VLOOKUP($A139,'Institution Evaluation'!$A$56:$K$345,10,0)=TRUE,'Auto Responses'!$J$3,"")</f>
        <v/>
      </c>
    </row>
    <row r="140" spans="1:11" ht="409.5" x14ac:dyDescent="0.3">
      <c r="A140" s="19" t="s">
        <v>65</v>
      </c>
      <c r="B140" s="18" t="str">
        <f>VLOOKUP($A140,Questions!$A$2:$X$333,2,0)</f>
        <v>Does your organization have a data privacy policy?</v>
      </c>
      <c r="C140" s="45" t="str">
        <f>VLOOKUP($A140,'Institution Evaluation'!$A$56:$K$345,3,0)&amp;""</f>
        <v>Yes</v>
      </c>
      <c r="D140" s="45" t="str">
        <f>VLOOKUP($A140,'Institution Evaluation'!$A$56:$K$345,4,0)&amp;""</f>
        <v>Yes. Preservica's Privacy Policy and GDPR Policy are both available via Preservica's Trust Center at https://preservica.com/trust-center, and the privacy notice is published at https://preservica.com/privacy-notice. In respect of customer data held in the platform Preservica acts as Processor; Preservica acts as Controller for the limited personal data required to manage the commercial relationship with the customer. Preservica has appointed a Data Protection Officer, contactable at Privacy@preservica.com.</v>
      </c>
      <c r="E140" s="326" t="str">
        <f>VLOOKUP($A140,'Institution Evaluation'!$A$56:$K$345,5,0)&amp;""</f>
        <v>Provide your data privacy document (or a valid link to it) upon submission.</v>
      </c>
      <c r="F140" s="184" t="str">
        <f>VLOOKUP($A140,'Institution Evaluation'!$A$56:$K$345,6,0)&amp;""</f>
        <v/>
      </c>
      <c r="G140" s="30" t="str">
        <f>VLOOKUP($A140,'Institution Evaluation'!$A$56:$K$345,7,0)&amp;""</f>
        <v>Yes</v>
      </c>
      <c r="H140" s="181" t="str">
        <f>VLOOKUP($A140,'Institution Evaluation'!$A$56:$K$345,8,0)&amp;""</f>
        <v/>
      </c>
      <c r="I140" s="45" t="str">
        <f>VLOOKUP($A140,'Institution Evaluation'!$A$56:$K$345,9,0)&amp;""</f>
        <v>Standard Importance</v>
      </c>
      <c r="J140" s="182" t="str">
        <f>VLOOKUP($A140,'Institution Evaluation'!$A$56:$K$345,10,0)&amp;""</f>
        <v/>
      </c>
      <c r="K140" s="48" t="str">
        <f>IF(VLOOKUP($A140,'Institution Evaluation'!$A$56:$K$345,10,0)=TRUE,'Auto Responses'!$J$3,"")</f>
        <v/>
      </c>
    </row>
    <row r="141" spans="1:11" ht="409.5" x14ac:dyDescent="0.3">
      <c r="A141" s="19" t="s">
        <v>67</v>
      </c>
      <c r="B141" s="18" t="str">
        <f>VLOOKUP($A141,Questions!$A$2:$X$333,2,0)</f>
        <v>Do you have a documented, and currently implemented, employee onboarding and offboarding policy?</v>
      </c>
      <c r="C141" s="45" t="str">
        <f>VLOOKUP($A141,'Institution Evaluation'!$A$56:$K$345,3,0)&amp;""</f>
        <v>Yes</v>
      </c>
      <c r="D141" s="45" t="str">
        <f>VLOOKUP($A141,'Institution Evaluation'!$A$56:$K$345,4,0)&amp;""</f>
        <v>Yes. Preservica maintains documented New Starter and Leaver IT procedures governing the joiner, mover and leaver lifecycle. Microsoft Entra ID is the central identity directory and all employees are issued an Entra ID account by default; systems are integrated with Entra ID via Single Sign-On wherever technically feasible. Provisioning and de-provisioning are initiated through the internal helpdesk on request from Human Resources or the user's line manager. Access to additional systems is requested by the employee or their line manager and approved by the line manager or a member of the Leadership Team — self-approval is not permitted — and created by the owner of the relevant system. On leaving, the user's Entra ID account is disabled, which immediately prevents authentication to all SSO-integrated systems; remaining access is removed under the Leaver IT procedure on written line-manager authorisation, with removals recorded. Company assets are returned and recorded on termination, with laptops reset and user data securely wiped before reuse or disposal. All staff are screened before employment or engagement, and all employees read and acknowledge Preservica's core policies on hire and annually thereafter. These provisioning, de-provisioning and review controls fall within the scope of Preservica's ISO/IEC 27001:2022 certification and are described and independently tested in Preservica's SOC 2 Type II report.</v>
      </c>
      <c r="E141" s="326" t="str">
        <f>VLOOKUP($A141,'Institution Evaluation'!$A$56:$K$345,5,0)&amp;""</f>
        <v>Provide a reference to your employee onboarding and offboarding policy and supporting documentation or submit it along with this fully populated HECVAT.</v>
      </c>
      <c r="F141" s="184" t="str">
        <f>VLOOKUP($A141,'Institution Evaluation'!$A$56:$K$345,6,0)&amp;""</f>
        <v/>
      </c>
      <c r="G141" s="30" t="str">
        <f>VLOOKUP($A141,'Institution Evaluation'!$A$56:$K$345,7,0)&amp;""</f>
        <v>Yes</v>
      </c>
      <c r="H141" s="181" t="str">
        <f>VLOOKUP($A141,'Institution Evaluation'!$A$56:$K$345,8,0)&amp;""</f>
        <v/>
      </c>
      <c r="I141" s="45" t="str">
        <f>VLOOKUP($A141,'Institution Evaluation'!$A$56:$K$345,9,0)&amp;""</f>
        <v>Standard Importance</v>
      </c>
      <c r="J141" s="182" t="str">
        <f>VLOOKUP($A141,'Institution Evaluation'!$A$56:$K$345,10,0)&amp;""</f>
        <v/>
      </c>
      <c r="K141" s="48" t="str">
        <f>IF(VLOOKUP($A141,'Institution Evaluation'!$A$56:$K$345,10,0)=TRUE,'Auto Responses'!$J$3,"")</f>
        <v/>
      </c>
    </row>
    <row r="142" spans="1:11" s="1" customFormat="1" ht="17.5" x14ac:dyDescent="0.25">
      <c r="A142" s="63" t="str">
        <f>VLOOKUP(LEFT($A143,4),'Auto Responses'!$N$4:$O$38,2,0)&amp;""</f>
        <v xml:space="preserve"> IT Accessibility</v>
      </c>
      <c r="B142" s="22"/>
      <c r="C142" s="31"/>
      <c r="D142" s="31"/>
      <c r="E142" s="327"/>
      <c r="F142" s="129" t="s">
        <v>632</v>
      </c>
      <c r="G142" s="331" t="s">
        <v>627</v>
      </c>
      <c r="H142" s="331" t="s">
        <v>628</v>
      </c>
      <c r="I142" s="331" t="s">
        <v>629</v>
      </c>
      <c r="J142" s="331" t="s">
        <v>630</v>
      </c>
      <c r="K142" s="31"/>
    </row>
    <row r="143" spans="1:11" ht="120" x14ac:dyDescent="0.3">
      <c r="A143" s="19" t="s">
        <v>317</v>
      </c>
      <c r="B143" s="18" t="str">
        <f>VLOOKUP($A143,Questions!$A$2:$X$333,2,0)</f>
        <v>Web Link to Accessibility Statement or VPAT</v>
      </c>
      <c r="C143" s="45" t="str">
        <f>VLOOKUP($A143,'Institution Evaluation'!$A$56:$K$345,3,0)&amp;""</f>
        <v>Preservica's accessibility statement and current VPAT are published at Preservica's Trust Center: https://preservica.com/trust-center</v>
      </c>
      <c r="D143" s="45" t="str">
        <f>VLOOKUP($A143,'Institution Evaluation'!$A$56:$K$345,4,0)&amp;""</f>
        <v/>
      </c>
      <c r="E143" s="326" t="str">
        <f>VLOOKUP($A143,'Institution Evaluation'!$A$56:$K$345,5,0)&amp;""</f>
        <v>VPAT can also be added as an attachment</v>
      </c>
      <c r="F143" s="184" t="str">
        <f>VLOOKUP($A143,'Institution Evaluation'!$A$56:$K$345,6,0)&amp;""</f>
        <v/>
      </c>
      <c r="G143" s="30" t="str">
        <f>VLOOKUP($A143,'Institution Evaluation'!$A$56:$K$345,7,0)&amp;""</f>
        <v>Not scored</v>
      </c>
      <c r="H143" s="181" t="str">
        <f>VLOOKUP($A143,'Institution Evaluation'!$A$56:$K$345,8,0)&amp;""</f>
        <v/>
      </c>
      <c r="I143" s="45" t="str">
        <f>VLOOKUP($A143,'Institution Evaluation'!$A$56:$K$345,9,0)&amp;""</f>
        <v/>
      </c>
      <c r="J143" s="182" t="str">
        <f>VLOOKUP($A143,'Institution Evaluation'!$A$56:$K$345,10,0)&amp;""</f>
        <v/>
      </c>
      <c r="K143" s="48" t="str">
        <f>IF(VLOOKUP($A143,'Institution Evaluation'!$A$56:$K$345,10,0)=TRUE,'Auto Responses'!$J$3,"")</f>
        <v/>
      </c>
    </row>
    <row r="144" spans="1:11" ht="40.5" x14ac:dyDescent="0.3">
      <c r="A144" s="19" t="s">
        <v>321</v>
      </c>
      <c r="B144" s="18" t="str">
        <f>VLOOKUP($A144,Questions!$A$2:$X$333,2,0)</f>
        <v>Will your company agree to meet your stated accessibility standard or WCAG 2.1 AA as part of your contractual agreement for the solution?*</v>
      </c>
      <c r="C144" s="45" t="str">
        <f>VLOOKUP($A144,'Institution Evaluation'!$A$56:$K$345,3,0)&amp;""</f>
        <v>Yes</v>
      </c>
      <c r="D144" s="45" t="str">
        <f>VLOOKUP($A144,'Institution Evaluation'!$A$56:$K$345,4,0)&amp;""</f>
        <v/>
      </c>
      <c r="E144" s="326" t="str">
        <f>VLOOKUP($A144,'Institution Evaluation'!$A$56:$K$345,5,0)&amp;""</f>
        <v/>
      </c>
      <c r="F144" s="184" t="str">
        <f>VLOOKUP($A144,'Institution Evaluation'!$A$56:$K$345,6,0)&amp;""</f>
        <v/>
      </c>
      <c r="G144" s="30" t="str">
        <f>VLOOKUP($A144,'Institution Evaluation'!$A$56:$K$345,7,0)&amp;""</f>
        <v>Yes</v>
      </c>
      <c r="H144" s="181" t="str">
        <f>VLOOKUP($A144,'Institution Evaluation'!$A$56:$K$345,8,0)&amp;""</f>
        <v/>
      </c>
      <c r="I144" s="45" t="str">
        <f>VLOOKUP($A144,'Institution Evaluation'!$A$56:$K$345,9,0)&amp;""</f>
        <v>Critical Importance</v>
      </c>
      <c r="J144" s="182" t="str">
        <f>VLOOKUP($A144,'Institution Evaluation'!$A$56:$K$345,10,0)&amp;""</f>
        <v/>
      </c>
      <c r="K144" s="48" t="str">
        <f>IF(VLOOKUP($A144,'Institution Evaluation'!$A$56:$K$345,10,0)=TRUE,'Auto Responses'!$J$3,"")</f>
        <v/>
      </c>
    </row>
    <row r="145" spans="1:11" s="1" customFormat="1" ht="17.5" x14ac:dyDescent="0.25">
      <c r="A145" s="63" t="str">
        <f>VLOOKUP(LEFT($A146,4),'Auto Responses'!$N$4:$O$38,2,0)&amp;""</f>
        <v xml:space="preserve"> Assessment of Third Parties</v>
      </c>
      <c r="B145" s="22"/>
      <c r="C145" s="31"/>
      <c r="D145" s="31"/>
      <c r="E145" s="327"/>
      <c r="F145" s="129" t="s">
        <v>632</v>
      </c>
      <c r="G145" s="331" t="s">
        <v>627</v>
      </c>
      <c r="H145" s="331" t="s">
        <v>628</v>
      </c>
      <c r="I145" s="331" t="s">
        <v>629</v>
      </c>
      <c r="J145" s="331" t="s">
        <v>630</v>
      </c>
      <c r="K145" s="31"/>
    </row>
    <row r="146" spans="1:11" ht="409.5" x14ac:dyDescent="0.3">
      <c r="A146" s="19" t="s">
        <v>69</v>
      </c>
      <c r="B146" s="18" t="str">
        <f>VLOOKUP($A146,Questions!$A$2:$X$333,2,0)</f>
        <v>Do you perform security assessments of third-party companies with which you share data (e.g., hosting providers, cloud services, PaaS, IaaS, SaaS)?*</v>
      </c>
      <c r="C146" s="45" t="str">
        <f>VLOOKUP($A146,'Institution Evaluation'!$A$56:$K$345,3,0)&amp;""</f>
        <v>Yes</v>
      </c>
      <c r="D146" s="45" t="str">
        <f>VLOOKUP($A146,'Institution Evaluation'!$A$56:$K$345,4,0)&amp;""</f>
        <v>Yes. Third parties with which Preservica shares data are governed by Preservica's Supplier Management Policy and reviewed at least annually under its critical supplier review process, which is required by Preservica's ISO/IEC 27001:2022 and ISO 9001:2015 certified management systems and is further audited as part of Preservica's SOC 2 Type II report. For Preservica's cloud infrastructure providers, physical security of the data centre facilities is the provider's responsibility under their own independently audited certifications and attestations, such as ISO 27001 and SOC 2; Preservica reviews those certifications and attestations at least annually. Preservica does not operate its own data centres. Preservica accepts responsibility for its sub-processors under its standard Terms and Conditions. Preservica also ensures, through contractual or equivalent means, that third parties and consultants receive security awareness training equal to or greater than that required of Preservica's own employees.</v>
      </c>
      <c r="E146" s="326" t="str">
        <f>VLOOKUP($A146,'Institution Evaluation'!$A$56:$K$345,5,0)&amp;""</f>
        <v>Provide a summary of your practices that assures that the third party will be subject to the appropriate standards regarding security, service recoverability, and confidentiality.</v>
      </c>
      <c r="F146" s="184" t="str">
        <f>VLOOKUP($A146,'Institution Evaluation'!$A$56:$K$345,6,0)&amp;""</f>
        <v/>
      </c>
      <c r="G146" s="30" t="str">
        <f>VLOOKUP($A146,'Institution Evaluation'!$A$56:$K$345,7,0)&amp;""</f>
        <v>Yes</v>
      </c>
      <c r="H146" s="181" t="str">
        <f>VLOOKUP($A146,'Institution Evaluation'!$A$56:$K$345,8,0)&amp;""</f>
        <v/>
      </c>
      <c r="I146" s="45" t="str">
        <f>VLOOKUP($A146,'Institution Evaluation'!$A$56:$K$345,9,0)&amp;""</f>
        <v>Critical Importance</v>
      </c>
      <c r="J146" s="182" t="str">
        <f>VLOOKUP($A146,'Institution Evaluation'!$A$56:$K$345,10,0)&amp;""</f>
        <v/>
      </c>
      <c r="K146" s="48" t="str">
        <f>IF(VLOOKUP($A146,'Institution Evaluation'!$A$56:$K$345,10,0)=TRUE,'Auto Responses'!$J$3,"")</f>
        <v/>
      </c>
    </row>
    <row r="147" spans="1:11" ht="409.5" x14ac:dyDescent="0.3">
      <c r="A147" s="19" t="s">
        <v>71</v>
      </c>
      <c r="B147" s="18" t="str">
        <f>VLOOKUP($A147,Questions!$A$2:$X$333,2,0)</f>
        <v>Do you have contractual language in place with third parties governing access to institutional data?*</v>
      </c>
      <c r="C147" s="45" t="str">
        <f>VLOOKUP($A147,'Institution Evaluation'!$A$56:$K$345,3,0)&amp;""</f>
        <v>Yes</v>
      </c>
      <c r="D147" s="45" t="str">
        <f>VLOOKUP($A147,'Institution Evaluation'!$A$56:$K$345,4,0)&amp;""</f>
        <v>Yes. Preservica's sub-processors, and the reason institutional data is shared with each, are: Amazon Web Services — cloud infrastructure hosting the SaaS application and the storage of customer content, where selected in the customer's Order Form; Microsoft Azure — cloud infrastructure hosting the SaaS application and the storage of customer content, where selected in the customer's Order Form; Cloudflare — edge network services including web application firewall and DDoS protection for customer production domains, applicable to Professional edition and above. Sub-processors are approved and used in a region-dependent manner consistent with the customer's contracted data residency requirements, and Preservica accepts responsibility for its sub-processors under its standard Terms and Conditions.</v>
      </c>
      <c r="E147" s="326" t="str">
        <f>VLOOKUP($A147,'Institution Evaluation'!$A$56:$K$345,5,0)&amp;""</f>
        <v>List each third party and why institutional data is shared with them. Format example: [Third Party Name] - Reason</v>
      </c>
      <c r="F147" s="184" t="str">
        <f>VLOOKUP($A147,'Institution Evaluation'!$A$56:$K$345,6,0)&amp;""</f>
        <v/>
      </c>
      <c r="G147" s="30" t="str">
        <f>VLOOKUP($A147,'Institution Evaluation'!$A$56:$K$345,7,0)&amp;""</f>
        <v>Yes</v>
      </c>
      <c r="H147" s="181" t="str">
        <f>VLOOKUP($A147,'Institution Evaluation'!$A$56:$K$345,8,0)&amp;""</f>
        <v/>
      </c>
      <c r="I147" s="45" t="str">
        <f>VLOOKUP($A147,'Institution Evaluation'!$A$56:$K$345,9,0)&amp;""</f>
        <v>Critical Importance</v>
      </c>
      <c r="J147" s="182" t="str">
        <f>VLOOKUP($A147,'Institution Evaluation'!$A$56:$K$345,10,0)&amp;""</f>
        <v/>
      </c>
      <c r="K147" s="48" t="str">
        <f>IF(VLOOKUP($A147,'Institution Evaluation'!$A$56:$K$345,10,0)=TRUE,'Auto Responses'!$J$3,"")</f>
        <v/>
      </c>
    </row>
    <row r="148" spans="1:11" ht="409.5" x14ac:dyDescent="0.3">
      <c r="A148" s="19" t="s">
        <v>73</v>
      </c>
      <c r="B148" s="18" t="str">
        <f>VLOOKUP($A148,Questions!$A$2:$X$333,2,0)</f>
        <v>Do the contracts in place with these third parties address liability in the event of a data breach?*</v>
      </c>
      <c r="C148" s="45" t="str">
        <f>VLOOKUP($A148,'Institution Evaluation'!$A$56:$K$345,3,0)&amp;""</f>
        <v>Yes</v>
      </c>
      <c r="D148" s="45" t="str">
        <f>VLOOKUP($A148,'Institution Evaluation'!$A$56:$K$345,4,0)&amp;""</f>
        <v>Yes. Preservica accepts responsibility for its sub-processors under its standard Terms and Conditions, so the institution's contractual recourse in the event of a breach involving a sub-processor is to Preservica. Preservica's own standard Terms and Conditions set out its data breach obligations to the customer, including notification commitments. Preservica's contracts with its hyperscale cloud infrastructure providers are those providers' standard terms, which are not individually negotiable by any customer at that scale; assurance over those providers is obtained instead through their independently audited certifications and attestations, reviewed by Preservica at least annually.</v>
      </c>
      <c r="E148" s="326" t="str">
        <f>VLOOKUP($A148,'Institution Evaluation'!$A$56:$K$345,5,0)&amp;""</f>
        <v/>
      </c>
      <c r="F148" s="184" t="str">
        <f>VLOOKUP($A148,'Institution Evaluation'!$A$56:$K$345,6,0)&amp;""</f>
        <v/>
      </c>
      <c r="G148" s="30" t="str">
        <f>VLOOKUP($A148,'Institution Evaluation'!$A$56:$K$345,7,0)&amp;""</f>
        <v>Yes</v>
      </c>
      <c r="H148" s="181" t="str">
        <f>VLOOKUP($A148,'Institution Evaluation'!$A$56:$K$345,8,0)&amp;""</f>
        <v/>
      </c>
      <c r="I148" s="45" t="str">
        <f>VLOOKUP($A148,'Institution Evaluation'!$A$56:$K$345,9,0)&amp;""</f>
        <v>Critical Importance</v>
      </c>
      <c r="J148" s="182" t="str">
        <f>VLOOKUP($A148,'Institution Evaluation'!$A$56:$K$345,10,0)&amp;""</f>
        <v/>
      </c>
      <c r="K148" s="48" t="str">
        <f>IF(VLOOKUP($A148,'Institution Evaluation'!$A$56:$K$345,10,0)=TRUE,'Auto Responses'!$J$3,"")</f>
        <v/>
      </c>
    </row>
    <row r="149" spans="1:11" ht="409.5" x14ac:dyDescent="0.3">
      <c r="A149" s="19" t="s">
        <v>75</v>
      </c>
      <c r="B149" s="18" t="str">
        <f>VLOOKUP($A149,Questions!$A$2:$X$333,2,0)</f>
        <v>Do you have an implemented third-party management strategy?*</v>
      </c>
      <c r="C149" s="45" t="str">
        <f>VLOOKUP($A149,'Institution Evaluation'!$A$56:$K$345,3,0)&amp;""</f>
        <v>Yes</v>
      </c>
      <c r="D149" s="45" t="str">
        <f>VLOOKUP($A149,'Institution Evaluation'!$A$56:$K$345,4,0)&amp;""</f>
        <v>Yes. Third-party management is governed by Preservica's Supplier Management Policy and supporting Supplier Management Procedure, operating within Preservica's ISO/IEC 27001:2022 and ISO 9001:2015 certified management systems and further audited as part of Preservica's SOC 2 Type II report. Critical suppliers are reviewed at least annually, with the review covering their independently audited certifications and attestations. In the context of the service itself, Preservica's third-party dependency is limited: the service is hosted on Amazon Web Services or Microsoft Azure with Cloudflare edge services for Professional edition and above, Preservica does not operate its own data centres, and Preservica does not use outsourced or offshore development.</v>
      </c>
      <c r="E149" s="326" t="str">
        <f>VLOOKUP($A149,'Institution Evaluation'!$A$56:$K$345,5,0)&amp;""</f>
        <v>Provide additional information that may help analysts better understand your environment and how it relates to third-party solutions.</v>
      </c>
      <c r="F149" s="184" t="str">
        <f>VLOOKUP($A149,'Institution Evaluation'!$A$56:$K$345,6,0)&amp;""</f>
        <v/>
      </c>
      <c r="G149" s="30" t="str">
        <f>VLOOKUP($A149,'Institution Evaluation'!$A$56:$K$345,7,0)&amp;""</f>
        <v>Yes</v>
      </c>
      <c r="H149" s="181" t="str">
        <f>VLOOKUP($A149,'Institution Evaluation'!$A$56:$K$345,8,0)&amp;""</f>
        <v/>
      </c>
      <c r="I149" s="45" t="str">
        <f>VLOOKUP($A149,'Institution Evaluation'!$A$56:$K$345,9,0)&amp;""</f>
        <v>Critical Importance</v>
      </c>
      <c r="J149" s="182" t="str">
        <f>VLOOKUP($A149,'Institution Evaluation'!$A$56:$K$345,10,0)&amp;""</f>
        <v/>
      </c>
      <c r="K149" s="48" t="str">
        <f>IF(VLOOKUP($A149,'Institution Evaluation'!$A$56:$K$345,10,0)=TRUE,'Auto Responses'!$J$3,"")</f>
        <v/>
      </c>
    </row>
    <row r="150" spans="1:11" s="1" customFormat="1" ht="17.5" x14ac:dyDescent="0.25">
      <c r="A150" s="63" t="str">
        <f>VLOOKUP(LEFT($A151,4),'Auto Responses'!$N$4:$O$38,2,0)&amp;""</f>
        <v xml:space="preserve"> Consulting Services</v>
      </c>
      <c r="B150" s="22"/>
      <c r="C150" s="31"/>
      <c r="D150" s="31"/>
      <c r="E150" s="327"/>
      <c r="F150" s="129" t="s">
        <v>632</v>
      </c>
      <c r="G150" s="331" t="s">
        <v>627</v>
      </c>
      <c r="H150" s="331" t="s">
        <v>628</v>
      </c>
      <c r="I150" s="331" t="s">
        <v>629</v>
      </c>
      <c r="J150" s="331" t="s">
        <v>630</v>
      </c>
      <c r="K150" s="31"/>
    </row>
    <row r="151" spans="1:11" ht="405" x14ac:dyDescent="0.3">
      <c r="A151" s="19" t="s">
        <v>342</v>
      </c>
      <c r="B151" s="18" t="str">
        <f>VLOOKUP($A151,Questions!$A$2:$X$333,2,0)</f>
        <v>Will the consultant require access to the institution's network resources?*</v>
      </c>
      <c r="C151" s="45" t="str">
        <f>VLOOKUP($A151,'Institution Evaluation'!$A$56:$K$345,3,0)&amp;""</f>
        <v>No</v>
      </c>
      <c r="D151" s="45" t="str">
        <f>VLOOKUP($A151,'Institution Evaluation'!$A$56:$K$345,4,0)&amp;""</f>
        <v>Professional Services are delivered against the customer's own Preservica environment; access to the institution's network, systems or infrastructure is not required. Where an engagement requires ongoing access to the customer's Preservica environment, that access is granted by the customer at the start of the engagement, is least-privilege, logged and auditable, and can be withdrawn by the customer at any time. Preservica reviews staff access rights at least every six months and removes them when the business need ends.</v>
      </c>
      <c r="E151" s="326" t="str">
        <f>VLOOKUP($A151,'Institution Evaluation'!$A$56:$K$345,5,0)&amp;""</f>
        <v/>
      </c>
      <c r="F151" s="184" t="str">
        <f>VLOOKUP($A151,'Institution Evaluation'!$A$56:$K$345,6,0)&amp;""</f>
        <v/>
      </c>
      <c r="G151" s="30" t="str">
        <f>VLOOKUP($A151,'Institution Evaluation'!$A$56:$K$345,7,0)&amp;""</f>
        <v>No</v>
      </c>
      <c r="H151" s="181" t="str">
        <f>VLOOKUP($A151,'Institution Evaluation'!$A$56:$K$345,8,0)&amp;""</f>
        <v/>
      </c>
      <c r="I151" s="45" t="str">
        <f>VLOOKUP($A151,'Institution Evaluation'!$A$56:$K$345,9,0)&amp;""</f>
        <v>Critical Importance</v>
      </c>
      <c r="J151" s="182" t="str">
        <f>VLOOKUP($A151,'Institution Evaluation'!$A$56:$K$345,10,0)&amp;""</f>
        <v/>
      </c>
      <c r="K151" s="48" t="str">
        <f>IF(VLOOKUP($A151,'Institution Evaluation'!$A$56:$K$345,10,0)=TRUE,'Auto Responses'!$J$3,"")</f>
        <v/>
      </c>
    </row>
    <row r="152" spans="1:11" ht="409.5" x14ac:dyDescent="0.3">
      <c r="A152" s="19" t="s">
        <v>344</v>
      </c>
      <c r="B152" s="18" t="str">
        <f>VLOOKUP($A152,Questions!$A$2:$X$333,2,0)</f>
        <v>Has the consultant received training on (sensitive, HIPAA, PCI, etc.) data handling?*</v>
      </c>
      <c r="C152" s="45" t="str">
        <f>VLOOKUP($A152,'Institution Evaluation'!$A$56:$K$345,3,0)&amp;""</f>
        <v>Yes</v>
      </c>
      <c r="D152" s="45" t="str">
        <f>VLOOKUP($A152,'Institution Evaluation'!$A$56:$K$345,4,0)&amp;""</f>
        <v>All Preservica staff, temporary staff, consultants and third parties with access to Preservica or customer information complete mandatory security awareness training during onboarding and at least annually thereafter, with additional training provided following significant security incidents or material regulatory, policy or technology changes. Training covers data classification, information handling, and the secure transmission, storage, retention and disposal of sensitive customer information, alongside phishing and social engineering, acceptable use, and incident and breach reporting procedures. Personnel holding privileged access, or access to customer data, receive additional role-based training on the secure handling, storage, transmission, access, disclosure and disposal of sensitive information, including their responsibilities for breach identification and reporting. Where third parties or consultants are engaged, Preservica requires by contract that their security awareness training is equal to or greater than that required of Preservica employees; where suitable training cannot be verified, they are enrolled in Preservica's own programme. All staff are additionally screened prior to engagement, and staff in Customer Support, Operations, Information Security and Finance complete an annual criminal background check.</v>
      </c>
      <c r="E152" s="326" t="str">
        <f>VLOOKUP($A152,'Institution Evaluation'!$A$56:$K$345,5,0)&amp;""</f>
        <v/>
      </c>
      <c r="F152" s="184" t="str">
        <f>VLOOKUP($A152,'Institution Evaluation'!$A$56:$K$345,6,0)&amp;""</f>
        <v/>
      </c>
      <c r="G152" s="30" t="str">
        <f>VLOOKUP($A152,'Institution Evaluation'!$A$56:$K$345,7,0)&amp;""</f>
        <v>Yes</v>
      </c>
      <c r="H152" s="181" t="str">
        <f>VLOOKUP($A152,'Institution Evaluation'!$A$56:$K$345,8,0)&amp;""</f>
        <v/>
      </c>
      <c r="I152" s="45" t="str">
        <f>VLOOKUP($A152,'Institution Evaluation'!$A$56:$K$345,9,0)&amp;""</f>
        <v>Critical Importance</v>
      </c>
      <c r="J152" s="182" t="str">
        <f>VLOOKUP($A152,'Institution Evaluation'!$A$56:$K$345,10,0)&amp;""</f>
        <v/>
      </c>
      <c r="K152" s="48" t="str">
        <f>IF(VLOOKUP($A152,'Institution Evaluation'!$A$56:$K$345,10,0)=TRUE,'Auto Responses'!$J$3,"")</f>
        <v/>
      </c>
    </row>
    <row r="153" spans="1:11" ht="409.5" x14ac:dyDescent="0.3">
      <c r="A153" s="19" t="s">
        <v>346</v>
      </c>
      <c r="B153" s="18" t="str">
        <f>VLOOKUP($A153,Questions!$A$2:$X$333,2,0)</f>
        <v>Is the data encrypted (at rest) while in the consultant's possession?*</v>
      </c>
      <c r="C153" s="45" t="str">
        <f>VLOOKUP($A153,'Institution Evaluation'!$A$56:$K$345,3,0)&amp;""</f>
        <v>Yes</v>
      </c>
      <c r="D153" s="45" t="str">
        <f>VLOOKUP($A153,'Institution Evaluation'!$A$56:$K$345,4,0)&amp;""</f>
        <v>Professional Services engagements are performed within the customer's own Preservica environment, and customer content is not routinely held by Preservica personnel. Where customer content is held on a Preservica endpoint, full-disk encryption is applied in line with industry standards and best practice. Customer data held within the Preservica service is encrypted at rest using AES-256, with key management provided by the underlying cloud platform's key management service; customers on dedicated infrastructure have unique encryption keys that are not shared.</v>
      </c>
      <c r="E153" s="326" t="str">
        <f>VLOOKUP($A153,'Institution Evaluation'!$A$56:$K$345,5,0)&amp;""</f>
        <v/>
      </c>
      <c r="F153" s="184" t="str">
        <f>VLOOKUP($A153,'Institution Evaluation'!$A$56:$K$345,6,0)&amp;""</f>
        <v/>
      </c>
      <c r="G153" s="30" t="str">
        <f>VLOOKUP($A153,'Institution Evaluation'!$A$56:$K$345,7,0)&amp;""</f>
        <v>Yes</v>
      </c>
      <c r="H153" s="181" t="str">
        <f>VLOOKUP($A153,'Institution Evaluation'!$A$56:$K$345,8,0)&amp;""</f>
        <v/>
      </c>
      <c r="I153" s="45" t="str">
        <f>VLOOKUP($A153,'Institution Evaluation'!$A$56:$K$345,9,0)&amp;""</f>
        <v>Critical Importance</v>
      </c>
      <c r="J153" s="182" t="str">
        <f>VLOOKUP($A153,'Institution Evaluation'!$A$56:$K$345,10,0)&amp;""</f>
        <v/>
      </c>
      <c r="K153" s="48" t="str">
        <f>IF(VLOOKUP($A153,'Institution Evaluation'!$A$56:$K$345,10,0)=TRUE,'Auto Responses'!$J$3,"")</f>
        <v/>
      </c>
    </row>
    <row r="154" spans="1:11" ht="345" x14ac:dyDescent="0.3">
      <c r="A154" s="19" t="s">
        <v>348</v>
      </c>
      <c r="B154" s="18" t="str">
        <f>VLOOKUP($A154,Questions!$A$2:$X$333,2,0)</f>
        <v>Can access be restricted based on source IP address?*</v>
      </c>
      <c r="C154" s="45" t="str">
        <f>VLOOKUP($A154,'Institution Evaluation'!$A$56:$K$345,3,0)&amp;""</f>
        <v>Yes</v>
      </c>
      <c r="D154" s="45" t="str">
        <f>VLOOKUP($A154,'Institution Evaluation'!$A$56:$K$345,4,0)&amp;""</f>
        <v>Customers may enable IP whitelisting, which restricts access to the IP addresses the customer provides, together with Preservica's office addresses and Preservica's infrastructure monitoring platform. Where IP whitelisting is not enabled, access is restricted to authenticated users from any location, other than content the customer has specifically selected for public disclosure through Universal Access or a public Portal.</v>
      </c>
      <c r="E154" s="326" t="str">
        <f>VLOOKUP($A154,'Institution Evaluation'!$A$56:$K$345,5,0)&amp;""</f>
        <v/>
      </c>
      <c r="F154" s="184" t="str">
        <f>VLOOKUP($A154,'Institution Evaluation'!$A$56:$K$345,6,0)&amp;""</f>
        <v/>
      </c>
      <c r="G154" s="30" t="str">
        <f>VLOOKUP($A154,'Institution Evaluation'!$A$56:$K$345,7,0)&amp;""</f>
        <v>Yes</v>
      </c>
      <c r="H154" s="181" t="str">
        <f>VLOOKUP($A154,'Institution Evaluation'!$A$56:$K$345,8,0)&amp;""</f>
        <v/>
      </c>
      <c r="I154" s="45" t="str">
        <f>VLOOKUP($A154,'Institution Evaluation'!$A$56:$K$345,9,0)&amp;""</f>
        <v>Critical Importance</v>
      </c>
      <c r="J154" s="182" t="str">
        <f>VLOOKUP($A154,'Institution Evaluation'!$A$56:$K$345,10,0)&amp;""</f>
        <v/>
      </c>
      <c r="K154" s="48" t="str">
        <f>IF(VLOOKUP($A154,'Institution Evaluation'!$A$56:$K$345,10,0)=TRUE,'Auto Responses'!$J$3,"")</f>
        <v/>
      </c>
    </row>
    <row r="155" spans="1:11" ht="15" x14ac:dyDescent="0.3">
      <c r="A155" s="19" t="s">
        <v>350</v>
      </c>
      <c r="B155" s="18" t="str">
        <f>VLOOKUP($A155,Questions!$A$2:$X$333,2,0)</f>
        <v>Will the consulting take place on-premises?</v>
      </c>
      <c r="C155" s="45" t="str">
        <f>VLOOKUP($A155,'Institution Evaluation'!$A$56:$K$345,3,0)&amp;""</f>
        <v>No</v>
      </c>
      <c r="D155" s="45" t="str">
        <f>VLOOKUP($A155,'Institution Evaluation'!$A$56:$K$345,4,0)&amp;""</f>
        <v/>
      </c>
      <c r="E155" s="326" t="str">
        <f>VLOOKUP($A155,'Institution Evaluation'!$A$56:$K$345,5,0)&amp;""</f>
        <v/>
      </c>
      <c r="F155" s="184" t="str">
        <f>VLOOKUP($A155,'Institution Evaluation'!$A$56:$K$345,6,0)&amp;""</f>
        <v/>
      </c>
      <c r="G155" s="30" t="str">
        <f>VLOOKUP($A155,'Institution Evaluation'!$A$56:$K$345,7,0)&amp;""</f>
        <v>No</v>
      </c>
      <c r="H155" s="181" t="str">
        <f>VLOOKUP($A155,'Institution Evaluation'!$A$56:$K$345,8,0)&amp;""</f>
        <v/>
      </c>
      <c r="I155" s="45" t="str">
        <f>VLOOKUP($A155,'Institution Evaluation'!$A$56:$K$345,9,0)&amp;""</f>
        <v>Standard Importance</v>
      </c>
      <c r="J155" s="182" t="str">
        <f>VLOOKUP($A155,'Institution Evaluation'!$A$56:$K$345,10,0)&amp;""</f>
        <v/>
      </c>
      <c r="K155" s="48" t="str">
        <f>IF(VLOOKUP($A155,'Institution Evaluation'!$A$56:$K$345,10,0)=TRUE,'Auto Responses'!$J$3,"")</f>
        <v/>
      </c>
    </row>
    <row r="156" spans="1:11" ht="27" x14ac:dyDescent="0.3">
      <c r="A156" s="19" t="s">
        <v>351</v>
      </c>
      <c r="B156" s="18" t="str">
        <f>VLOOKUP($A156,Questions!$A$2:$X$333,2,0)</f>
        <v>Will the consultant require access to hardware in the institution's data centers?</v>
      </c>
      <c r="C156" s="45" t="str">
        <f>VLOOKUP($A156,'Institution Evaluation'!$A$56:$K$345,3,0)&amp;""</f>
        <v>No</v>
      </c>
      <c r="D156" s="45" t="str">
        <f>VLOOKUP($A156,'Institution Evaluation'!$A$56:$K$345,4,0)&amp;""</f>
        <v/>
      </c>
      <c r="E156" s="326" t="str">
        <f>VLOOKUP($A156,'Institution Evaluation'!$A$56:$K$345,5,0)&amp;""</f>
        <v/>
      </c>
      <c r="F156" s="184" t="str">
        <f>VLOOKUP($A156,'Institution Evaluation'!$A$56:$K$345,6,0)&amp;""</f>
        <v/>
      </c>
      <c r="G156" s="30" t="str">
        <f>VLOOKUP($A156,'Institution Evaluation'!$A$56:$K$345,7,0)&amp;""</f>
        <v>No</v>
      </c>
      <c r="H156" s="181" t="str">
        <f>VLOOKUP($A156,'Institution Evaluation'!$A$56:$K$345,8,0)&amp;""</f>
        <v/>
      </c>
      <c r="I156" s="45" t="str">
        <f>VLOOKUP($A156,'Institution Evaluation'!$A$56:$K$345,9,0)&amp;""</f>
        <v>Standard Importance</v>
      </c>
      <c r="J156" s="182" t="str">
        <f>VLOOKUP($A156,'Institution Evaluation'!$A$56:$K$345,10,0)&amp;""</f>
        <v/>
      </c>
      <c r="K156" s="48" t="str">
        <f>IF(VLOOKUP($A156,'Institution Evaluation'!$A$56:$K$345,10,0)=TRUE,'Auto Responses'!$J$3,"")</f>
        <v/>
      </c>
    </row>
    <row r="157" spans="1:11" ht="27" x14ac:dyDescent="0.3">
      <c r="A157" s="19" t="s">
        <v>352</v>
      </c>
      <c r="B157" s="18" t="str">
        <f>VLOOKUP($A157,Questions!$A$2:$X$333,2,0)</f>
        <v>Will the consultant require an account within the institution's domain (@*.edu)?</v>
      </c>
      <c r="C157" s="45" t="str">
        <f>VLOOKUP($A157,'Institution Evaluation'!$A$56:$K$345,3,0)&amp;""</f>
        <v>No</v>
      </c>
      <c r="D157" s="45" t="str">
        <f>VLOOKUP($A157,'Institution Evaluation'!$A$56:$K$345,4,0)&amp;""</f>
        <v/>
      </c>
      <c r="E157" s="326" t="str">
        <f>VLOOKUP($A157,'Institution Evaluation'!$A$56:$K$345,5,0)&amp;""</f>
        <v/>
      </c>
      <c r="F157" s="184" t="str">
        <f>VLOOKUP($A157,'Institution Evaluation'!$A$56:$K$345,6,0)&amp;""</f>
        <v/>
      </c>
      <c r="G157" s="30" t="str">
        <f>VLOOKUP($A157,'Institution Evaluation'!$A$56:$K$345,7,0)&amp;""</f>
        <v>No</v>
      </c>
      <c r="H157" s="181" t="str">
        <f>VLOOKUP($A157,'Institution Evaluation'!$A$56:$K$345,8,0)&amp;""</f>
        <v/>
      </c>
      <c r="I157" s="45" t="str">
        <f>VLOOKUP($A157,'Institution Evaluation'!$A$56:$K$345,9,0)&amp;""</f>
        <v>Standard Importance</v>
      </c>
      <c r="J157" s="182" t="str">
        <f>VLOOKUP($A157,'Institution Evaluation'!$A$56:$K$345,10,0)&amp;""</f>
        <v/>
      </c>
      <c r="K157" s="48" t="str">
        <f>IF(VLOOKUP($A157,'Institution Evaluation'!$A$56:$K$345,10,0)=TRUE,'Auto Responses'!$J$3,"")</f>
        <v/>
      </c>
    </row>
    <row r="158" spans="1:11" ht="315" x14ac:dyDescent="0.3">
      <c r="A158" s="19" t="s">
        <v>353</v>
      </c>
      <c r="B158" s="18" t="str">
        <f>VLOOKUP($A158,Questions!$A$2:$X$333,2,0)</f>
        <v>Will any data be transferred to the consultant's possession?</v>
      </c>
      <c r="C158" s="45" t="str">
        <f>VLOOKUP($A158,'Institution Evaluation'!$A$56:$K$345,3,0)&amp;""</f>
        <v>No</v>
      </c>
      <c r="D158" s="45" t="str">
        <f>VLOOKUP($A158,'Institution Evaluation'!$A$56:$K$345,4,0)&amp;""</f>
        <v>Professional Services work is performed within the customer's own Preservica environment, and customer content is not routinely transferred into Preservica's possession. Where a customer commissions a migration or consolidation engagement, content is moved between the customer's systems and their Preservica environment at the customer's direction and under the terms of that engagement.</v>
      </c>
      <c r="E158" s="326" t="str">
        <f>VLOOKUP($A158,'Institution Evaluation'!$A$56:$K$345,5,0)&amp;""</f>
        <v/>
      </c>
      <c r="F158" s="184" t="str">
        <f>VLOOKUP($A158,'Institution Evaluation'!$A$56:$K$345,6,0)&amp;""</f>
        <v/>
      </c>
      <c r="G158" s="30" t="str">
        <f>VLOOKUP($A158,'Institution Evaluation'!$A$56:$K$345,7,0)&amp;""</f>
        <v>No</v>
      </c>
      <c r="H158" s="181" t="str">
        <f>VLOOKUP($A158,'Institution Evaluation'!$A$56:$K$345,8,0)&amp;""</f>
        <v/>
      </c>
      <c r="I158" s="45" t="str">
        <f>VLOOKUP($A158,'Institution Evaluation'!$A$56:$K$345,9,0)&amp;""</f>
        <v>Standard Importance</v>
      </c>
      <c r="J158" s="182" t="str">
        <f>VLOOKUP($A158,'Institution Evaluation'!$A$56:$K$345,10,0)&amp;""</f>
        <v/>
      </c>
      <c r="K158" s="48" t="str">
        <f>IF(VLOOKUP($A158,'Institution Evaluation'!$A$56:$K$345,10,0)=TRUE,'Auto Responses'!$J$3,"")</f>
        <v/>
      </c>
    </row>
    <row r="159" spans="1:11" ht="27" x14ac:dyDescent="0.3">
      <c r="A159" s="19" t="s">
        <v>355</v>
      </c>
      <c r="B159" s="18" t="str">
        <f>VLOOKUP($A159,Questions!$A$2:$X$333,2,0)</f>
        <v>Will the consultant need remote access to the institution's network or systems?</v>
      </c>
      <c r="C159" s="45" t="str">
        <f>VLOOKUP($A159,'Institution Evaluation'!$A$56:$K$345,3,0)&amp;""</f>
        <v>No</v>
      </c>
      <c r="D159" s="45" t="str">
        <f>VLOOKUP($A159,'Institution Evaluation'!$A$56:$K$345,4,0)&amp;""</f>
        <v/>
      </c>
      <c r="E159" s="326" t="str">
        <f>VLOOKUP($A159,'Institution Evaluation'!$A$56:$K$345,5,0)&amp;""</f>
        <v/>
      </c>
      <c r="F159" s="184" t="str">
        <f>VLOOKUP($A159,'Institution Evaluation'!$A$56:$K$345,6,0)&amp;""</f>
        <v/>
      </c>
      <c r="G159" s="30" t="str">
        <f>VLOOKUP($A159,'Institution Evaluation'!$A$56:$K$345,7,0)&amp;""</f>
        <v>No</v>
      </c>
      <c r="H159" s="181" t="str">
        <f>VLOOKUP($A159,'Institution Evaluation'!$A$56:$K$345,8,0)&amp;""</f>
        <v/>
      </c>
      <c r="I159" s="45" t="str">
        <f>VLOOKUP($A159,'Institution Evaluation'!$A$56:$K$345,9,0)&amp;""</f>
        <v>Standard Importance</v>
      </c>
      <c r="J159" s="182" t="str">
        <f>VLOOKUP($A159,'Institution Evaluation'!$A$56:$K$345,10,0)&amp;""</f>
        <v/>
      </c>
      <c r="K159" s="48" t="str">
        <f>IF(VLOOKUP($A159,'Institution Evaluation'!$A$56:$K$345,10,0)=TRUE,'Auto Responses'!$J$3,"")</f>
        <v/>
      </c>
    </row>
    <row r="160" spans="1:11" s="1" customFormat="1" ht="17.5" x14ac:dyDescent="0.25">
      <c r="A160" s="63" t="str">
        <f>VLOOKUP(LEFT($A161,4),'Auto Responses'!$N$4:$O$38,2,0)&amp;""</f>
        <v xml:space="preserve"> Application/Service Security</v>
      </c>
      <c r="B160" s="22"/>
      <c r="C160" s="31"/>
      <c r="D160" s="31"/>
      <c r="E160" s="327"/>
      <c r="F160" s="129" t="s">
        <v>632</v>
      </c>
      <c r="G160" s="331" t="s">
        <v>627</v>
      </c>
      <c r="H160" s="331" t="s">
        <v>628</v>
      </c>
      <c r="I160" s="331" t="s">
        <v>629</v>
      </c>
      <c r="J160" s="331" t="s">
        <v>630</v>
      </c>
      <c r="K160" s="31"/>
    </row>
    <row r="161" spans="1:11" ht="409.5" x14ac:dyDescent="0.3">
      <c r="A161" s="19" t="s">
        <v>220</v>
      </c>
      <c r="B161" s="18" t="str">
        <f>VLOOKUP($A161,Questions!$A$2:$X$333,2,0)</f>
        <v>Are access controls for institutional accounts based on structured rules, such as role-based access control (RBAC), attribute-based access control (ABAC), or policy-based access control (PBAC)?*</v>
      </c>
      <c r="C161" s="45" t="str">
        <f>VLOOKUP($A161,'Institution Evaluation'!$A$56:$K$345,3,0)&amp;""</f>
        <v>Yes</v>
      </c>
      <c r="D161" s="45" t="str">
        <f>VLOOKUP($A161,'Institution Evaluation'!$A$56:$K$345,4,0)&amp;""</f>
        <v>Preservica implements role-based access control (RBAC). Predefined roles are: Manager User (all functional areas, excluding certain system-wide settings reserved to the SaaS provider); Access User (Explorer interface, search, and access-related reports and workflows); Ingest User (ingest-related reports and workflows); Data Management User (data management reports and workflows); Transform User (preservation-related reports and workflows, plus read access to the Technical Registry); Registry Admin User (modify the Technical Registry); Submitter User (no main application access, limited content access via the CMIS and REST APIs); and Anonymous User (no main application access, limited content access via the CMIS and REST APIs). Each predefined role can be granted permissions scoped to specific content tags, and institutions can define their own custom roles with permissions similarly scoped. Institutions configure roles and permissions within their tenancy in line with their own security policies.</v>
      </c>
      <c r="E161" s="326" t="str">
        <f>VLOOKUP($A161,'Institution Evaluation'!$A$56:$K$345,5,0)&amp;""</f>
        <v>Describe available roles.</v>
      </c>
      <c r="F161" s="184" t="str">
        <f>VLOOKUP($A161,'Institution Evaluation'!$A$56:$K$345,6,0)&amp;""</f>
        <v/>
      </c>
      <c r="G161" s="30" t="str">
        <f>VLOOKUP($A161,'Institution Evaluation'!$A$56:$K$345,7,0)&amp;""</f>
        <v>Yes</v>
      </c>
      <c r="H161" s="181" t="str">
        <f>VLOOKUP($A161,'Institution Evaluation'!$A$56:$K$345,8,0)&amp;""</f>
        <v/>
      </c>
      <c r="I161" s="45" t="str">
        <f>VLOOKUP($A161,'Institution Evaluation'!$A$56:$K$345,9,0)&amp;""</f>
        <v>Critical Importance</v>
      </c>
      <c r="J161" s="182" t="str">
        <f>VLOOKUP($A161,'Institution Evaluation'!$A$56:$K$345,10,0)&amp;""</f>
        <v/>
      </c>
      <c r="K161" s="48" t="str">
        <f>IF(VLOOKUP($A161,'Institution Evaluation'!$A$56:$K$345,10,0)=TRUE,'Auto Responses'!$J$3,"")</f>
        <v/>
      </c>
    </row>
    <row r="162" spans="1:11" ht="360" x14ac:dyDescent="0.3">
      <c r="A162" s="19" t="s">
        <v>222</v>
      </c>
      <c r="B162" s="18" t="str">
        <f>VLOOKUP($A162,Questions!$A$2:$X$333,2,0)</f>
        <v>Are you using a web application firewall (WAF)?*</v>
      </c>
      <c r="C162" s="45" t="str">
        <f>VLOOKUP($A162,'Institution Evaluation'!$A$56:$K$345,3,0)&amp;""</f>
        <v>Yes</v>
      </c>
      <c r="D162" s="45" t="str">
        <f>VLOOKUP($A162,'Institution Evaluation'!$A$56:$K$345,4,0)&amp;""</f>
        <v>Preservica's SaaS infrastructure includes a Cloudflare Web Application Firewall protecting customer production domains, with Cloudflare managed rules enabled. It is included in the subscription for Professional edition and above. All customer environments additionally include DDoS protection, which the Web Application Firewall detects and mitigates. Further information on Preservica's security controls is published at https://preservica.com/trust-center.</v>
      </c>
      <c r="E162" s="326" t="str">
        <f>VLOOKUP($A162,'Institution Evaluation'!$A$56:$K$345,5,0)&amp;""</f>
        <v>Describe the currently implemented WAF.</v>
      </c>
      <c r="F162" s="184" t="str">
        <f>VLOOKUP($A162,'Institution Evaluation'!$A$56:$K$345,6,0)&amp;""</f>
        <v/>
      </c>
      <c r="G162" s="30" t="str">
        <f>VLOOKUP($A162,'Institution Evaluation'!$A$56:$K$345,7,0)&amp;""</f>
        <v>Yes</v>
      </c>
      <c r="H162" s="181" t="str">
        <f>VLOOKUP($A162,'Institution Evaluation'!$A$56:$K$345,8,0)&amp;""</f>
        <v/>
      </c>
      <c r="I162" s="45" t="str">
        <f>VLOOKUP($A162,'Institution Evaluation'!$A$56:$K$345,9,0)&amp;""</f>
        <v>Critical Importance</v>
      </c>
      <c r="J162" s="182" t="str">
        <f>VLOOKUP($A162,'Institution Evaluation'!$A$56:$K$345,10,0)&amp;""</f>
        <v/>
      </c>
      <c r="K162" s="48" t="str">
        <f>IF(VLOOKUP($A162,'Institution Evaluation'!$A$56:$K$345,10,0)=TRUE,'Auto Responses'!$J$3,"")</f>
        <v/>
      </c>
    </row>
    <row r="163" spans="1:11" ht="409.5" x14ac:dyDescent="0.3">
      <c r="A163" s="19" t="s">
        <v>232</v>
      </c>
      <c r="B163" s="18" t="str">
        <f>VLOOKUP($A163,Questions!$A$2:$X$333,2,0)</f>
        <v>Are access controls for staff within your organization based on structured rules, such as RBAC, ABAC, or PBAC?</v>
      </c>
      <c r="C163" s="45" t="str">
        <f>VLOOKUP($A163,'Institution Evaluation'!$A$56:$K$345,3,0)&amp;""</f>
        <v>Yes</v>
      </c>
      <c r="D163" s="45" t="str">
        <f>VLOOKUP($A163,'Institution Evaluation'!$A$56:$K$345,4,0)&amp;""</f>
        <v>Preservica's Access Control Policy applies to all internal networks, all IT systems (on-premise and cloud) and all authorised users, whether employees or external parties. Access rights are granted following the principles of least privilege and need-to-know, using role-based access control wherever possible. Privileged rights are restricted, recorded and not granted by default, and privileged accounts are kept separate from day-to-day user accounts. Remote access is via secure VPN protected by directory accounts with multi-factor authentication. Asset owners review access rights at least every six months, and on role change or termination, with reviews recorded. These controls fall within the scope of Preservica's ISO/IEC 27001:2022 certification and are independently tested within its annual SOC 2 Type II audit.</v>
      </c>
      <c r="E163" s="326" t="str">
        <f>VLOOKUP($A163,'Institution Evaluation'!$A$56:$K$345,5,0)&amp;""</f>
        <v>This includes system administrators and third-party personnel with access to the system. PBAC would include various dynamic controls such as conditional access, risk-based access, location-based access, or system activity–based access.</v>
      </c>
      <c r="F163" s="184" t="str">
        <f>VLOOKUP($A163,'Institution Evaluation'!$A$56:$K$345,6,0)&amp;""</f>
        <v/>
      </c>
      <c r="G163" s="30" t="str">
        <f>VLOOKUP($A163,'Institution Evaluation'!$A$56:$K$345,7,0)&amp;""</f>
        <v>Yes</v>
      </c>
      <c r="H163" s="181" t="str">
        <f>VLOOKUP($A163,'Institution Evaluation'!$A$56:$K$345,8,0)&amp;""</f>
        <v/>
      </c>
      <c r="I163" s="45" t="str">
        <f>VLOOKUP($A163,'Institution Evaluation'!$A$56:$K$345,9,0)&amp;""</f>
        <v>Standard Importance</v>
      </c>
      <c r="J163" s="182" t="str">
        <f>VLOOKUP($A163,'Institution Evaluation'!$A$56:$K$345,10,0)&amp;""</f>
        <v/>
      </c>
      <c r="K163" s="48" t="str">
        <f>IF(VLOOKUP($A163,'Institution Evaluation'!$A$56:$K$345,10,0)=TRUE,'Auto Responses'!$J$3,"")</f>
        <v/>
      </c>
    </row>
    <row r="164" spans="1:11" s="1" customFormat="1" ht="17.5" x14ac:dyDescent="0.25">
      <c r="A164" s="63" t="str">
        <f>VLOOKUP(LEFT($A165,4),'Auto Responses'!$N$4:$O$38,2,0)&amp;""</f>
        <v xml:space="preserve"> Authentication, Authorization, and Account Management</v>
      </c>
      <c r="B164" s="22"/>
      <c r="C164" s="31"/>
      <c r="D164" s="31"/>
      <c r="E164" s="327"/>
      <c r="F164" s="129" t="s">
        <v>632</v>
      </c>
      <c r="G164" s="331" t="s">
        <v>627</v>
      </c>
      <c r="H164" s="331" t="s">
        <v>628</v>
      </c>
      <c r="I164" s="331" t="s">
        <v>629</v>
      </c>
      <c r="J164" s="331" t="s">
        <v>630</v>
      </c>
      <c r="K164" s="31"/>
    </row>
    <row r="165" spans="1:11" ht="409.5" x14ac:dyDescent="0.3">
      <c r="A165" s="19" t="s">
        <v>140</v>
      </c>
      <c r="B165" s="18" t="str">
        <f>VLOOKUP($A165,Questions!$A$2:$X$333,2,0)</f>
        <v>Does your solution support single sign-on (SSO) protocols for user and administrator authentication?*</v>
      </c>
      <c r="C165" s="45" t="str">
        <f>VLOOKUP($A165,'Institution Evaluation'!$A$56:$K$345,3,0)&amp;""</f>
        <v>Yes</v>
      </c>
      <c r="D165" s="45" t="str">
        <f>VLOOKUP($A165,'Institution Evaluation'!$A$56:$K$345,4,0)&amp;""</f>
        <v>Preservica supports SAML 2.0-based Single Sign-On for user and administrator authentication, available on Enterprise edition and above. Microsoft Entra ID (Azure AD) is fully supported. Where Single Sign-On is used, authentication strength is delegated to and enforced by the institution's own Identity Provider — including password complexity and ageing, re-use restrictions, multi-factor authentication, certificate-based authentication and biometrics. SAML assertions are exchanged over TLS 1.2 or TLS 1.3 only; all earlier TLS and SSL versions are disabled. Where an institution does not use Single Sign-On, Preservica's built-in local authentication applies the password rules stated in AAAI-04, and two-factor authentication is available on Professional edition and above.</v>
      </c>
      <c r="E165" s="326" t="str">
        <f>VLOOKUP($A165,'Institution Evaluation'!$A$56:$K$345,5,0)&amp;""</f>
        <v>Describe how strong authentication is enforced (e.g., complex passwords, multifactor tokens, certificates, biometrics, aging requirements, re-use policy).</v>
      </c>
      <c r="F165" s="184" t="str">
        <f>VLOOKUP($A165,'Institution Evaluation'!$A$56:$K$345,6,0)&amp;""</f>
        <v/>
      </c>
      <c r="G165" s="30" t="str">
        <f>VLOOKUP($A165,'Institution Evaluation'!$A$56:$K$345,7,0)&amp;""</f>
        <v>Yes</v>
      </c>
      <c r="H165" s="181" t="str">
        <f>VLOOKUP($A165,'Institution Evaluation'!$A$56:$K$345,8,0)&amp;""</f>
        <v/>
      </c>
      <c r="I165" s="45" t="str">
        <f>VLOOKUP($A165,'Institution Evaluation'!$A$56:$K$345,9,0)&amp;""</f>
        <v>Critical Importance</v>
      </c>
      <c r="J165" s="182" t="str">
        <f>VLOOKUP($A165,'Institution Evaluation'!$A$56:$K$345,10,0)&amp;""</f>
        <v/>
      </c>
      <c r="K165" s="48" t="str">
        <f>IF(VLOOKUP($A165,'Institution Evaluation'!$A$56:$K$345,10,0)=TRUE,'Auto Responses'!$J$3,"")</f>
        <v/>
      </c>
    </row>
    <row r="166" spans="1:11" ht="409.5" x14ac:dyDescent="0.3">
      <c r="A166" s="19" t="s">
        <v>142</v>
      </c>
      <c r="B166" s="18" t="str">
        <f>VLOOKUP($A166,Questions!$A$2:$X$333,2,0)</f>
        <v>For customers not using SSO, does your solution support local authentication protocols for user and administrator authentication?*</v>
      </c>
      <c r="C166" s="45" t="str">
        <f>VLOOKUP($A166,'Institution Evaluation'!$A$56:$K$345,3,0)&amp;""</f>
        <v>Yes</v>
      </c>
      <c r="D166" s="45" t="str">
        <f>VLOOKUP($A166,'Institution Evaluation'!$A$56:$K$345,4,0)&amp;""</f>
        <v>Preservica provides a platform-native local authentication directory for institutions that do not use Single Sign-On. Local accounts are used for both user and administrator access, and are created and administered by the institution's own platform administrators. Local passwords must be between 8 and 64 characters in length and must contain at least 3 of the following 4 character classes: uppercase letters, lowercase letters, numbers, and symbols. Two-factor authentication is available for local authentication on Professional edition and above and is enabled at tenancy level. Access rights for local accounts are governed by the platform's role-based access control model, with permissions assignable to predefined or custom roles and scoped to specific content. User sessions are automatically terminated after a maximum of 15 minutes of inactivity.</v>
      </c>
      <c r="E166" s="326" t="str">
        <f>VLOOKUP($A166,'Institution Evaluation'!$A$56:$K$345,5,0)&amp;""</f>
        <v>Provide a detailed description of your local authentication mode practices.</v>
      </c>
      <c r="F166" s="184" t="str">
        <f>VLOOKUP($A166,'Institution Evaluation'!$A$56:$K$345,6,0)&amp;""</f>
        <v/>
      </c>
      <c r="G166" s="30" t="str">
        <f>VLOOKUP($A166,'Institution Evaluation'!$A$56:$K$345,7,0)&amp;""</f>
        <v>Yes</v>
      </c>
      <c r="H166" s="181" t="str">
        <f>VLOOKUP($A166,'Institution Evaluation'!$A$56:$K$345,8,0)&amp;""</f>
        <v/>
      </c>
      <c r="I166" s="45" t="str">
        <f>VLOOKUP($A166,'Institution Evaluation'!$A$56:$K$345,9,0)&amp;""</f>
        <v>Critical Importance</v>
      </c>
      <c r="J166" s="182" t="str">
        <f>VLOOKUP($A166,'Institution Evaluation'!$A$56:$K$345,10,0)&amp;""</f>
        <v/>
      </c>
      <c r="K166" s="48" t="str">
        <f>IF(VLOOKUP($A166,'Institution Evaluation'!$A$56:$K$345,10,0)=TRUE,'Auto Responses'!$J$3,"")</f>
        <v/>
      </c>
    </row>
    <row r="167" spans="1:11" ht="409.5" x14ac:dyDescent="0.3">
      <c r="A167" s="19" t="s">
        <v>161</v>
      </c>
      <c r="B167" s="18" t="str">
        <f>VLOOKUP($A167,Questions!$A$2:$X$333,2,0)</f>
        <v>For customers not using SSO, does your application support integration with other authentication and authorization systems?</v>
      </c>
      <c r="C167" s="45" t="str">
        <f>VLOOKUP($A167,'Institution Evaluation'!$A$56:$K$345,3,0)&amp;""</f>
        <v>No</v>
      </c>
      <c r="D167" s="45" t="str">
        <f>VLOOKUP($A167,'Institution Evaluation'!$A$56:$K$345,4,0)&amp;""</f>
        <v>Where Single Sign-On is not used, authentication is performed by Preservica's own platform-native local authentication directory. Preservica does not offer direct integration with external authentication or authorization systems such as Active Directory, LDAP or Kerberos; institutions that wish to use an existing directory do so by federating it through their own SAML 2.0 Identity Provider, which is available on Enterprise edition and above. Authorization within the platform is always governed by Preservica's own role-based access control model, using predefined or custom roles whose permissions can be scoped to specific content.</v>
      </c>
      <c r="E167" s="326" t="str">
        <f>VLOOKUP($A167,'Institution Evaluation'!$A$56:$K$345,5,0)&amp;""</f>
        <v>Describe any plans to support integration with other authentication and authorization systems.</v>
      </c>
      <c r="F167" s="184" t="str">
        <f>VLOOKUP($A167,'Institution Evaluation'!$A$56:$K$345,6,0)&amp;""</f>
        <v/>
      </c>
      <c r="G167" s="30" t="str">
        <f>VLOOKUP($A167,'Institution Evaluation'!$A$56:$K$345,7,0)&amp;""</f>
        <v>Yes</v>
      </c>
      <c r="H167" s="181" t="str">
        <f>VLOOKUP($A167,'Institution Evaluation'!$A$56:$K$345,8,0)&amp;""</f>
        <v/>
      </c>
      <c r="I167" s="45" t="str">
        <f>VLOOKUP($A167,'Institution Evaluation'!$A$56:$K$345,9,0)&amp;""</f>
        <v>Standard Importance</v>
      </c>
      <c r="J167" s="182" t="str">
        <f>VLOOKUP($A167,'Institution Evaluation'!$A$56:$K$345,10,0)&amp;""</f>
        <v/>
      </c>
      <c r="K167" s="48" t="str">
        <f>IF(VLOOKUP($A167,'Institution Evaluation'!$A$56:$K$345,10,0)=TRUE,'Auto Responses'!$J$3,"")</f>
        <v/>
      </c>
    </row>
    <row r="168" spans="1:11" ht="54" x14ac:dyDescent="0.3">
      <c r="A168" s="19" t="s">
        <v>163</v>
      </c>
      <c r="B168" s="18" t="str">
        <f>VLOOKUP($A168,Questions!$A$2:$X$333,2,0)</f>
        <v>Do you allow the customer to specify attribute mappings for any needed information beyond a user identifier? (e.g., Reference eduPerson, ePPA/ePPN/ePE)</v>
      </c>
      <c r="C168" s="45" t="str">
        <f>VLOOKUP($A168,'Institution Evaluation'!$A$56:$K$345,3,0)&amp;""</f>
        <v>No</v>
      </c>
      <c r="D168" s="45" t="str">
        <f>VLOOKUP($A168,'Institution Evaluation'!$A$56:$K$345,4,0)&amp;""</f>
        <v>No plans at this time.</v>
      </c>
      <c r="E168" s="326" t="str">
        <f>VLOOKUP($A168,'Institution Evaluation'!$A$56:$K$345,5,0)&amp;""</f>
        <v>Describe plans to allow customers to specify attribute mappings.</v>
      </c>
      <c r="F168" s="184" t="str">
        <f>VLOOKUP($A168,'Institution Evaluation'!$A$56:$K$345,6,0)&amp;""</f>
        <v/>
      </c>
      <c r="G168" s="30" t="str">
        <f>VLOOKUP($A168,'Institution Evaluation'!$A$56:$K$345,7,0)&amp;""</f>
        <v>Yes</v>
      </c>
      <c r="H168" s="181" t="str">
        <f>VLOOKUP($A168,'Institution Evaluation'!$A$56:$K$345,8,0)&amp;""</f>
        <v/>
      </c>
      <c r="I168" s="45" t="str">
        <f>VLOOKUP($A168,'Institution Evaluation'!$A$56:$K$345,9,0)&amp;""</f>
        <v>Standard Importance</v>
      </c>
      <c r="J168" s="182" t="str">
        <f>VLOOKUP($A168,'Institution Evaluation'!$A$56:$K$345,10,0)&amp;""</f>
        <v/>
      </c>
      <c r="K168" s="48" t="str">
        <f>IF(VLOOKUP($A168,'Institution Evaluation'!$A$56:$K$345,10,0)=TRUE,'Auto Responses'!$J$3,"")</f>
        <v/>
      </c>
    </row>
    <row r="169" spans="1:11" ht="375" x14ac:dyDescent="0.3">
      <c r="A169" s="19" t="s">
        <v>169</v>
      </c>
      <c r="B169" s="18" t="str">
        <f>VLOOKUP($A169,Questions!$A$2:$X$333,2,0)</f>
        <v>For customers not using SSO, does your application and/or user frontend/portal support multifactor authentication (e.g., Duo, Google Authenticator, OTP, etc.)?</v>
      </c>
      <c r="C169" s="45" t="str">
        <f>VLOOKUP($A169,'Institution Evaluation'!$A$56:$K$345,3,0)&amp;""</f>
        <v>Yes</v>
      </c>
      <c r="D169" s="45" t="str">
        <f>VLOOKUP($A169,'Institution Evaluation'!$A$56:$K$345,4,0)&amp;""</f>
        <v>Where an institution chooses not to implement SAML 2.0 Single Sign-On, Preservica's built-in local authentication supports two-factor authentication. This is available on Professional edition and above and is enabled at tenancy level. Where Single Sign-On is used instead (Enterprise edition and above), multi-factor authentication is delegated to and enforced by the institution's own Identity Provider, including Microsoft Entra ID conditional access policies.</v>
      </c>
      <c r="E169" s="326" t="str">
        <f>VLOOKUP($A169,'Institution Evaluation'!$A$56:$K$345,5,0)&amp;""</f>
        <v>List all supported multifactor authentication methods, technologies, and/or solutions and provide a brief summary of each.</v>
      </c>
      <c r="F169" s="184" t="str">
        <f>VLOOKUP($A169,'Institution Evaluation'!$A$56:$K$345,6,0)&amp;""</f>
        <v/>
      </c>
      <c r="G169" s="30" t="str">
        <f>VLOOKUP($A169,'Institution Evaluation'!$A$56:$K$345,7,0)&amp;""</f>
        <v>Yes</v>
      </c>
      <c r="H169" s="181" t="str">
        <f>VLOOKUP($A169,'Institution Evaluation'!$A$56:$K$345,8,0)&amp;""</f>
        <v/>
      </c>
      <c r="I169" s="45" t="str">
        <f>VLOOKUP($A169,'Institution Evaluation'!$A$56:$K$345,9,0)&amp;""</f>
        <v>Minor Importance</v>
      </c>
      <c r="J169" s="182" t="str">
        <f>VLOOKUP($A169,'Institution Evaluation'!$A$56:$K$345,10,0)&amp;""</f>
        <v/>
      </c>
      <c r="K169" s="48" t="str">
        <f>IF(VLOOKUP($A169,'Institution Evaluation'!$A$56:$K$345,10,0)=TRUE,'Auto Responses'!$J$3,"")</f>
        <v/>
      </c>
    </row>
    <row r="170" spans="1:11" s="1" customFormat="1" ht="17.5" x14ac:dyDescent="0.25">
      <c r="A170" s="63" t="str">
        <f>VLOOKUP(LEFT($A171,4),'Auto Responses'!$N$4:$O$38,2,0)&amp;""</f>
        <v xml:space="preserve"> Change Management</v>
      </c>
      <c r="B170" s="22"/>
      <c r="C170" s="31"/>
      <c r="D170" s="31"/>
      <c r="E170" s="327"/>
      <c r="F170" s="129" t="s">
        <v>632</v>
      </c>
      <c r="G170" s="331" t="s">
        <v>627</v>
      </c>
      <c r="H170" s="331" t="s">
        <v>628</v>
      </c>
      <c r="I170" s="331" t="s">
        <v>629</v>
      </c>
      <c r="J170" s="331" t="s">
        <v>630</v>
      </c>
      <c r="K170" s="31"/>
    </row>
    <row r="171" spans="1:11" ht="330" x14ac:dyDescent="0.3">
      <c r="A171" s="19" t="s">
        <v>79</v>
      </c>
      <c r="B171" s="18" t="str">
        <f>VLOOKUP($A171,Questions!$A$2:$X$333,2,0)</f>
        <v>Will the institution be notified of major changes to your environment that could impact the institution's security posture?*</v>
      </c>
      <c r="C171" s="45" t="str">
        <f>VLOOKUP($A171,'Institution Evaluation'!$A$56:$K$345,3,0)&amp;""</f>
        <v>Yes</v>
      </c>
      <c r="D171" s="45" t="str">
        <f>VLOOKUP($A171,'Institution Evaluation'!$A$56:$K$345,4,0)&amp;""</f>
        <v>Yes. Significant or major changes to Preservica's product environment that could affect a customer's security posture are announced in advance via Preservica's Community Hub. Releases that impact customers are additionally communicated via email and/or the customer portal. Where action is required on the customer's part in order to mitigate a vulnerability, Preservica notifies the customer directly.</v>
      </c>
      <c r="E171" s="326" t="str">
        <f>VLOOKUP($A171,'Institution Evaluation'!$A$56:$K$345,5,0)&amp;""</f>
        <v>State how and when the institution will be notified of major changes to your environment.</v>
      </c>
      <c r="F171" s="184" t="str">
        <f>VLOOKUP($A171,'Institution Evaluation'!$A$56:$K$345,6,0)&amp;""</f>
        <v/>
      </c>
      <c r="G171" s="30" t="str">
        <f>VLOOKUP($A171,'Institution Evaluation'!$A$56:$K$345,7,0)&amp;""</f>
        <v>Yes</v>
      </c>
      <c r="H171" s="181" t="str">
        <f>VLOOKUP($A171,'Institution Evaluation'!$A$56:$K$345,8,0)&amp;""</f>
        <v/>
      </c>
      <c r="I171" s="45" t="str">
        <f>VLOOKUP($A171,'Institution Evaluation'!$A$56:$K$345,9,0)&amp;""</f>
        <v>Critical Importance</v>
      </c>
      <c r="J171" s="182" t="str">
        <f>VLOOKUP($A171,'Institution Evaluation'!$A$56:$K$345,10,0)&amp;""</f>
        <v/>
      </c>
      <c r="K171" s="48" t="str">
        <f>IF(VLOOKUP($A171,'Institution Evaluation'!$A$56:$K$345,10,0)=TRUE,'Auto Responses'!$J$3,"")</f>
        <v/>
      </c>
    </row>
    <row r="172" spans="1:11" ht="90" x14ac:dyDescent="0.3">
      <c r="A172" s="19" t="s">
        <v>81</v>
      </c>
      <c r="B172" s="18" t="str">
        <f>VLOOKUP($A172,Questions!$A$2:$X$333,2,0)</f>
        <v>Does the system support client customizations from one release to another?*</v>
      </c>
      <c r="C172" s="45" t="str">
        <f>VLOOKUP($A172,'Institution Evaluation'!$A$56:$K$345,3,0)&amp;""</f>
        <v>Yes</v>
      </c>
      <c r="D172" s="45" t="str">
        <f>VLOOKUP($A172,'Institution Evaluation'!$A$56:$K$345,4,0)&amp;""</f>
        <v>Configuration changes made to the SaaS application by the customer are maintained from release to release.</v>
      </c>
      <c r="E172" s="326" t="str">
        <f>VLOOKUP($A172,'Institution Evaluation'!$A$56:$K$345,5,0)&amp;""</f>
        <v>Describe or provide reference to your solution support strategy in regard to maintaining client customizations from one release to another.</v>
      </c>
      <c r="F172" s="184" t="str">
        <f>VLOOKUP($A172,'Institution Evaluation'!$A$56:$K$345,6,0)&amp;""</f>
        <v/>
      </c>
      <c r="G172" s="30" t="str">
        <f>VLOOKUP($A172,'Institution Evaluation'!$A$56:$K$345,7,0)&amp;""</f>
        <v>Yes</v>
      </c>
      <c r="H172" s="181" t="str">
        <f>VLOOKUP($A172,'Institution Evaluation'!$A$56:$K$345,8,0)&amp;""</f>
        <v/>
      </c>
      <c r="I172" s="45" t="str">
        <f>VLOOKUP($A172,'Institution Evaluation'!$A$56:$K$345,9,0)&amp;""</f>
        <v>Critical Importance</v>
      </c>
      <c r="J172" s="182" t="str">
        <f>VLOOKUP($A172,'Institution Evaluation'!$A$56:$K$345,10,0)&amp;""</f>
        <v/>
      </c>
      <c r="K172" s="48" t="str">
        <f>IF(VLOOKUP($A172,'Institution Evaluation'!$A$56:$K$345,10,0)=TRUE,'Auto Responses'!$J$3,"")</f>
        <v/>
      </c>
    </row>
    <row r="173" spans="1:11" s="1" customFormat="1" ht="17.5" x14ac:dyDescent="0.25">
      <c r="A173" s="63" t="str">
        <f>VLOOKUP(LEFT($A174,4),'Auto Responses'!$N$4:$O$38,2,0)&amp;""</f>
        <v xml:space="preserve"> Data</v>
      </c>
      <c r="B173" s="22"/>
      <c r="C173" s="31"/>
      <c r="D173" s="31"/>
      <c r="E173" s="327"/>
      <c r="F173" s="129" t="s">
        <v>632</v>
      </c>
      <c r="G173" s="331" t="s">
        <v>627</v>
      </c>
      <c r="H173" s="331" t="s">
        <v>628</v>
      </c>
      <c r="I173" s="331" t="s">
        <v>629</v>
      </c>
      <c r="J173" s="331" t="s">
        <v>630</v>
      </c>
      <c r="K173" s="31"/>
    </row>
    <row r="174" spans="1:11" ht="240" x14ac:dyDescent="0.3">
      <c r="A174" s="19" t="s">
        <v>177</v>
      </c>
      <c r="B174" s="18" t="str">
        <f>VLOOKUP($A174,Questions!$A$2:$X$333,2,0)</f>
        <v>Is the storage of sensitive data encrypted using security protocols/algorithms (e.g., disk encryption, at-rest, files, and within a running database)?*</v>
      </c>
      <c r="C174" s="45" t="str">
        <f>VLOOKUP($A174,'Institution Evaluation'!$A$56:$K$345,3,0)&amp;""</f>
        <v>Yes</v>
      </c>
      <c r="D174" s="45" t="str">
        <f>VLOOKUP($A174,'Institution Evaluation'!$A$56:$K$345,4,0)&amp;""</f>
        <v>Institution data at rest is encrypted using AES-256, with keys managed through the key management services of the underlying cloud provider. This applies to the database platform and its backups and snapshots, block storage volumes and snapshots, object storage, and archival storage tiers.</v>
      </c>
      <c r="E174" s="326" t="str">
        <f>VLOOKUP($A174,'Institution Evaluation'!$A$56:$K$345,5,0)&amp;""</f>
        <v>Summarize your data encryption strategy and state what encryption options are available.</v>
      </c>
      <c r="F174" s="184" t="str">
        <f>VLOOKUP($A174,'Institution Evaluation'!$A$56:$K$345,6,0)&amp;""</f>
        <v/>
      </c>
      <c r="G174" s="30" t="str">
        <f>VLOOKUP($A174,'Institution Evaluation'!$A$56:$K$345,7,0)&amp;""</f>
        <v>Yes</v>
      </c>
      <c r="H174" s="181" t="str">
        <f>VLOOKUP($A174,'Institution Evaluation'!$A$56:$K$345,8,0)&amp;""</f>
        <v/>
      </c>
      <c r="I174" s="45" t="str">
        <f>VLOOKUP($A174,'Institution Evaluation'!$A$56:$K$345,9,0)&amp;""</f>
        <v>Critical Importance</v>
      </c>
      <c r="J174" s="182" t="str">
        <f>VLOOKUP($A174,'Institution Evaluation'!$A$56:$K$345,10,0)&amp;""</f>
        <v/>
      </c>
      <c r="K174" s="48" t="str">
        <f>IF(VLOOKUP($A174,'Institution Evaluation'!$A$56:$K$345,10,0)=TRUE,'Auto Responses'!$J$3,"")</f>
        <v/>
      </c>
    </row>
    <row r="175" spans="1:11" ht="120" x14ac:dyDescent="0.3">
      <c r="A175" s="19" t="s">
        <v>179</v>
      </c>
      <c r="B175" s="18" t="str">
        <f>VLOOKUP($A175,Questions!$A$2:$X$333,2,0)</f>
        <v>Do all cryptographic modules in use in your solution conform to the Federal Information Processing Standards (FIPS PUB 140-2 or 140-3)?*</v>
      </c>
      <c r="C175" s="45" t="str">
        <f>VLOOKUP($A175,'Institution Evaluation'!$A$56:$K$345,3,0)&amp;""</f>
        <v>No</v>
      </c>
      <c r="D175" s="45" t="str">
        <f>VLOOKUP($A175,'Institution Evaluation'!$A$56:$K$345,4,0)&amp;""</f>
        <v>Cryptographic Modules used by Preservica are managed by the Cloud Service provider and are FIPS 140-2 Level 3 Compliant. FIPS 140-2 is still valid through 2026.</v>
      </c>
      <c r="E175" s="326" t="str">
        <f>VLOOKUP($A175,'Institution Evaluation'!$A$56:$K$345,5,0)&amp;""</f>
        <v>Provide a detailed description of all non-conforming modules.</v>
      </c>
      <c r="F175" s="184" t="str">
        <f>VLOOKUP($A175,'Institution Evaluation'!$A$56:$K$345,6,0)&amp;""</f>
        <v/>
      </c>
      <c r="G175" s="30" t="str">
        <f>VLOOKUP($A175,'Institution Evaluation'!$A$56:$K$345,7,0)&amp;""</f>
        <v>Yes</v>
      </c>
      <c r="H175" s="181" t="str">
        <f>VLOOKUP($A175,'Institution Evaluation'!$A$56:$K$345,8,0)&amp;""</f>
        <v/>
      </c>
      <c r="I175" s="45" t="str">
        <f>VLOOKUP($A175,'Institution Evaluation'!$A$56:$K$345,9,0)&amp;""</f>
        <v>Critical Importance</v>
      </c>
      <c r="J175" s="182" t="str">
        <f>VLOOKUP($A175,'Institution Evaluation'!$A$56:$K$345,10,0)&amp;""</f>
        <v/>
      </c>
      <c r="K175" s="48" t="str">
        <f>IF(VLOOKUP($A175,'Institution Evaluation'!$A$56:$K$345,10,0)=TRUE,'Auto Responses'!$J$3,"")</f>
        <v/>
      </c>
    </row>
    <row r="176" spans="1:11" ht="409.5" x14ac:dyDescent="0.3">
      <c r="A176" s="19" t="s">
        <v>183</v>
      </c>
      <c r="B176" s="18" t="str">
        <f>VLOOKUP($A176,Questions!$A$2:$X$333,2,0)</f>
        <v>Are ownership rights to all data, inputs, outputs, and metadata retained even through a provider acquisition or bankruptcy event?*</v>
      </c>
      <c r="C176" s="45" t="str">
        <f>VLOOKUP($A176,'Institution Evaluation'!$A$56:$K$345,3,0)&amp;""</f>
        <v>Yes</v>
      </c>
      <c r="D176" s="45" t="str">
        <f>VLOOKUP($A176,'Institution Evaluation'!$A$56:$K$345,4,0)&amp;""</f>
        <v>Institutions retain ownership and control of all data they place in or generate through the service — content ingested, data supplied as input to platform processing, outputs produced by that processing, and all associated descriptive, technical and preservation metadata — at all times, as set out in the contract Terms and Conditions. Preservica processes institution data only to provide the contracted service, on the institution's instructions and as required by applicable law, and does not use institution data to train or fine-tune any model. Institutions can export some or all of their content and metadata at any time during the contract term in a common machine-readable format, and Preservica supports the OPEX (Open Preservation Exchange) standard for structured export of preservation content and metadata. Source code escrow and key escrow are additionally available as chargeable options through a third-party escrow provider, under a tripartite registration agreement between Preservica, the institution and the escrow provider.</v>
      </c>
      <c r="E176" s="326" t="str">
        <f>VLOOKUP($A176,'Institution Evaluation'!$A$56:$K$345,5,0)&amp;""</f>
        <v>Provide references, as needed.</v>
      </c>
      <c r="F176" s="184" t="str">
        <f>VLOOKUP($A176,'Institution Evaluation'!$A$56:$K$345,6,0)&amp;""</f>
        <v/>
      </c>
      <c r="G176" s="30" t="str">
        <f>VLOOKUP($A176,'Institution Evaluation'!$A$56:$K$345,7,0)&amp;""</f>
        <v>Yes</v>
      </c>
      <c r="H176" s="181" t="str">
        <f>VLOOKUP($A176,'Institution Evaluation'!$A$56:$K$345,8,0)&amp;""</f>
        <v/>
      </c>
      <c r="I176" s="45" t="str">
        <f>VLOOKUP($A176,'Institution Evaluation'!$A$56:$K$345,9,0)&amp;""</f>
        <v>Critical Importance</v>
      </c>
      <c r="J176" s="182" t="str">
        <f>VLOOKUP($A176,'Institution Evaluation'!$A$56:$K$345,10,0)&amp;""</f>
        <v/>
      </c>
      <c r="K176" s="48" t="str">
        <f>IF(VLOOKUP($A176,'Institution Evaluation'!$A$56:$K$345,10,0)=TRUE,'Auto Responses'!$J$3,"")</f>
        <v/>
      </c>
    </row>
    <row r="177" spans="1:11" ht="409.5" x14ac:dyDescent="0.3">
      <c r="A177" s="19" t="s">
        <v>185</v>
      </c>
      <c r="B177" s="18" t="str">
        <f>VLOOKUP($A177,Questions!$A$2:$X$333,2,0)</f>
        <v>Do backups containing the institution's data ever leave the institution's data zone either physically or via network routing?*</v>
      </c>
      <c r="C177" s="45" t="str">
        <f>VLOOKUP($A177,'Institution Evaluation'!$A$56:$K$345,3,0)&amp;""</f>
        <v>No</v>
      </c>
      <c r="D177" s="45" t="str">
        <f>VLOOKUP($A177,'Institution Evaluation'!$A$56:$K$345,4,0)&amp;""</f>
        <v>Institution data, including all backup copies, is stored and processed only within the geographic region specified in the Data Residency section of the institution's Order Form. This is a contractual and enforceable commitment: data is not moved, replicated or processed outside that region except where explicitly instructed by the institution or required by applicable law. Resilience and recovery arrangements are designed so that institution data does not move across regions or outside agreed jurisdictional boundaries, and sub-processors are approved and used on a region-dependent basis consistent with the same commitment.</v>
      </c>
      <c r="E177" s="326" t="str">
        <f>VLOOKUP($A177,'Institution Evaluation'!$A$56:$K$345,5,0)&amp;""</f>
        <v/>
      </c>
      <c r="F177" s="184" t="str">
        <f>VLOOKUP($A177,'Institution Evaluation'!$A$56:$K$345,6,0)&amp;""</f>
        <v/>
      </c>
      <c r="G177" s="30" t="str">
        <f>VLOOKUP($A177,'Institution Evaluation'!$A$56:$K$345,7,0)&amp;""</f>
        <v>No</v>
      </c>
      <c r="H177" s="181" t="str">
        <f>VLOOKUP($A177,'Institution Evaluation'!$A$56:$K$345,8,0)&amp;""</f>
        <v/>
      </c>
      <c r="I177" s="45" t="str">
        <f>VLOOKUP($A177,'Institution Evaluation'!$A$56:$K$345,9,0)&amp;""</f>
        <v>Critical Importance</v>
      </c>
      <c r="J177" s="182" t="str">
        <f>VLOOKUP($A177,'Institution Evaluation'!$A$56:$K$345,10,0)&amp;""</f>
        <v/>
      </c>
      <c r="K177" s="48" t="str">
        <f>IF(VLOOKUP($A177,'Institution Evaluation'!$A$56:$K$345,10,0)=TRUE,'Auto Responses'!$J$3,"")</f>
        <v/>
      </c>
    </row>
    <row r="178" spans="1:11" ht="409.5" x14ac:dyDescent="0.3">
      <c r="A178" s="19" t="s">
        <v>187</v>
      </c>
      <c r="B178" s="18" t="str">
        <f>VLOOKUP($A178,Questions!$A$2:$X$333,2,0)</f>
        <v>Is media used for long-term retention of business data and archival purposes stored in a secure, environmentally protected area?*</v>
      </c>
      <c r="C178" s="45" t="str">
        <f>VLOOKUP($A178,'Institution Evaluation'!$A$56:$K$345,3,0)&amp;""</f>
        <v>Yes</v>
      </c>
      <c r="D178" s="45" t="str">
        <f>VLOOKUP($A178,'Institution Evaluation'!$A$56:$K$345,4,0)&amp;""</f>
        <v>Preservica does not operate its own data centres. Institution data, including long-term retention and archival copies, is held exclusively in AWS or Microsoft Azure facilities. Physical and environmental security of those facilities is the provider's responsibility and is covered by their own independently audited certifications and attestations, including ISO 27001 and SOC 2. Preservica reviews those certifications and attestations at least annually as part of its critical supplier review process, which operates under Preservica's ISO/IEC 27001:2022 and ISO 9001:2015 certified management systems. Preservica's own compliance documentation is available at https://preservica.com/trust-center</v>
      </c>
      <c r="E178" s="326" t="str">
        <f>VLOOKUP($A178,'Institution Evaluation'!$A$56:$K$345,5,0)&amp;""</f>
        <v>Provide a general summary of your archival environment.</v>
      </c>
      <c r="F178" s="184" t="str">
        <f>VLOOKUP($A178,'Institution Evaluation'!$A$56:$K$345,6,0)&amp;""</f>
        <v/>
      </c>
      <c r="G178" s="30" t="str">
        <f>VLOOKUP($A178,'Institution Evaluation'!$A$56:$K$345,7,0)&amp;""</f>
        <v>Yes</v>
      </c>
      <c r="H178" s="181" t="str">
        <f>VLOOKUP($A178,'Institution Evaluation'!$A$56:$K$345,8,0)&amp;""</f>
        <v/>
      </c>
      <c r="I178" s="45" t="str">
        <f>VLOOKUP($A178,'Institution Evaluation'!$A$56:$K$345,9,0)&amp;""</f>
        <v>Critical Importance</v>
      </c>
      <c r="J178" s="182" t="str">
        <f>VLOOKUP($A178,'Institution Evaluation'!$A$56:$K$345,10,0)&amp;""</f>
        <v/>
      </c>
      <c r="K178" s="48" t="str">
        <f>IF(VLOOKUP($A178,'Institution Evaluation'!$A$56:$K$345,10,0)=TRUE,'Auto Responses'!$J$3,"")</f>
        <v/>
      </c>
    </row>
    <row r="179" spans="1:11" ht="409.5" x14ac:dyDescent="0.3">
      <c r="A179" s="19" t="s">
        <v>189</v>
      </c>
      <c r="B179" s="18" t="str">
        <f>VLOOKUP($A179,Questions!$A$2:$X$333,2,0)</f>
        <v>At the completion of this contract, will data be returned to the institution and/or deleted from all your systems and archives?</v>
      </c>
      <c r="C179" s="45" t="str">
        <f>VLOOKUP($A179,'Institution Evaluation'!$A$56:$K$345,3,0)&amp;""</f>
        <v>Yes</v>
      </c>
      <c r="D179" s="45" t="str">
        <f>VLOOKUP($A179,'Institution Evaluation'!$A$56:$K$345,4,0)&amp;""</f>
        <v>The platform includes built-in export functionality allowing the institution to export some or all of its content and metadata at any time in an open, machine-readable format; Preservica supports the OPEX (Open Preservation Exchange) standard for structured export of preservation content and metadata. Following termination, export remains available for the period stated in DATA-05, after which institution data is deleted. Where an entire environment or tenancy is deleted at the end of an agreement, Preservica can provide an Attestation of Deletion on request: a formal signed letter identifying the services, URLs, tenancy identifiers and cloud service providers in scope, and confirming that data has been securely and permanently deleted from Preservica's application databases and storage systems. Logical deletion is performed by Preservica; physical destruction of the underlying storage media is performed by the cloud service provider under its own independently audited processes.</v>
      </c>
      <c r="E179" s="326" t="str">
        <f>VLOOKUP($A179,'Institution Evaluation'!$A$56:$K$345,5,0)&amp;""</f>
        <v>State the length of time that the institution's data will be available in the system at the completion of the contract.</v>
      </c>
      <c r="F179" s="184" t="str">
        <f>VLOOKUP($A179,'Institution Evaluation'!$A$56:$K$345,6,0)&amp;""</f>
        <v/>
      </c>
      <c r="G179" s="30" t="str">
        <f>VLOOKUP($A179,'Institution Evaluation'!$A$56:$K$345,7,0)&amp;""</f>
        <v>Yes</v>
      </c>
      <c r="H179" s="181" t="str">
        <f>VLOOKUP($A179,'Institution Evaluation'!$A$56:$K$345,8,0)&amp;""</f>
        <v/>
      </c>
      <c r="I179" s="45" t="str">
        <f>VLOOKUP($A179,'Institution Evaluation'!$A$56:$K$345,9,0)&amp;""</f>
        <v>Standard Importance</v>
      </c>
      <c r="J179" s="182" t="str">
        <f>VLOOKUP($A179,'Institution Evaluation'!$A$56:$K$345,10,0)&amp;""</f>
        <v/>
      </c>
      <c r="K179" s="48" t="str">
        <f>IF(VLOOKUP($A179,'Institution Evaluation'!$A$56:$K$345,10,0)=TRUE,'Auto Responses'!$J$3,"")</f>
        <v/>
      </c>
    </row>
    <row r="180" spans="1:11" ht="375" x14ac:dyDescent="0.3">
      <c r="A180" s="19" t="s">
        <v>191</v>
      </c>
      <c r="B180" s="18" t="str">
        <f>VLOOKUP($A180,Questions!$A$2:$X$333,2,0)</f>
        <v>Can the institution extract a full or partial backup of data?</v>
      </c>
      <c r="C180" s="45" t="str">
        <f>VLOOKUP($A180,'Institution Evaluation'!$A$56:$K$345,3,0)&amp;""</f>
        <v>Yes</v>
      </c>
      <c r="D180" s="45" t="str">
        <f>VLOOKUP($A180,'Institution Evaluation'!$A$56:$K$345,4,0)&amp;""</f>
        <v>Institutions can export some or all of their content and metadata at any time using the platform's built-in export functionality. Exports can also be driven programmatically through Preservica's documented REST APIs. Institution-applied metadata is preserved on export. Note that certain system-level audit records may not be exportable as part of a migration. This is a self-service export capability under the institution's control; it is not access to Preservica's own backup media.</v>
      </c>
      <c r="E180" s="326" t="str">
        <f>VLOOKUP($A180,'Institution Evaluation'!$A$56:$K$345,5,0)&amp;""</f>
        <v>Provide a general summary of how full and partial backups of data can be extracted.</v>
      </c>
      <c r="F180" s="184" t="str">
        <f>VLOOKUP($A180,'Institution Evaluation'!$A$56:$K$345,6,0)&amp;""</f>
        <v/>
      </c>
      <c r="G180" s="30" t="str">
        <f>VLOOKUP($A180,'Institution Evaluation'!$A$56:$K$345,7,0)&amp;""</f>
        <v>Yes</v>
      </c>
      <c r="H180" s="181" t="str">
        <f>VLOOKUP($A180,'Institution Evaluation'!$A$56:$K$345,8,0)&amp;""</f>
        <v/>
      </c>
      <c r="I180" s="45" t="str">
        <f>VLOOKUP($A180,'Institution Evaluation'!$A$56:$K$345,9,0)&amp;""</f>
        <v>Standard Importance</v>
      </c>
      <c r="J180" s="182" t="str">
        <f>VLOOKUP($A180,'Institution Evaluation'!$A$56:$K$345,10,0)&amp;""</f>
        <v/>
      </c>
      <c r="K180" s="48" t="str">
        <f>IF(VLOOKUP($A180,'Institution Evaluation'!$A$56:$K$345,10,0)=TRUE,'Auto Responses'!$J$3,"")</f>
        <v/>
      </c>
    </row>
    <row r="181" spans="1:11" ht="409.5" x14ac:dyDescent="0.3">
      <c r="A181" s="19" t="s">
        <v>193</v>
      </c>
      <c r="B181" s="18" t="str">
        <f>VLOOKUP($A181,Questions!$A$2:$X$333,2,0)</f>
        <v>Do current backups include all operating system software, utilities, security software, application software, and data files necessary for recovery?</v>
      </c>
      <c r="C181" s="45" t="str">
        <f>VLOOKUP($A181,'Institution Evaluation'!$A$56:$K$345,3,0)&amp;""</f>
        <v>Yes</v>
      </c>
      <c r="D181" s="45" t="str">
        <f>VLOOKUP($A181,'Institution Evaluation'!$A$56:$K$345,4,0)&amp;""</f>
        <v>Preservica maintains backup and recovery arrangements sufficient to meet its contractual Recovery Point Objective of 24 hours and Recovery Time Objective of 4 hours for the service. Recovery is exercised at least semi-annually, and control effectiveness is independently audited as part of Preservica's SOC 2 Type II report, which is available to customers on request. Detailed backup implementation methods and retention schedules are not publicly disclosed. In addition, the platform performs ongoing fixity checking, validating stored content against recorded checksums and alerting on any discrepancy.</v>
      </c>
      <c r="E181" s="326" t="str">
        <f>VLOOKUP($A181,'Institution Evaluation'!$A$56:$K$345,5,0)&amp;""</f>
        <v>Describe your overall strategy to accomplish these elements.</v>
      </c>
      <c r="F181" s="184" t="str">
        <f>VLOOKUP($A181,'Institution Evaluation'!$A$56:$K$345,6,0)&amp;""</f>
        <v/>
      </c>
      <c r="G181" s="30" t="str">
        <f>VLOOKUP($A181,'Institution Evaluation'!$A$56:$K$345,7,0)&amp;""</f>
        <v>Yes</v>
      </c>
      <c r="H181" s="181" t="str">
        <f>VLOOKUP($A181,'Institution Evaluation'!$A$56:$K$345,8,0)&amp;""</f>
        <v/>
      </c>
      <c r="I181" s="45" t="str">
        <f>VLOOKUP($A181,'Institution Evaluation'!$A$56:$K$345,9,0)&amp;""</f>
        <v>Standard Importance</v>
      </c>
      <c r="J181" s="182" t="str">
        <f>VLOOKUP($A181,'Institution Evaluation'!$A$56:$K$345,10,0)&amp;""</f>
        <v/>
      </c>
      <c r="K181" s="48" t="str">
        <f>IF(VLOOKUP($A181,'Institution Evaluation'!$A$56:$K$345,10,0)=TRUE,'Auto Responses'!$J$3,"")</f>
        <v/>
      </c>
    </row>
    <row r="182" spans="1:11" ht="409.5" x14ac:dyDescent="0.3">
      <c r="A182" s="19" t="s">
        <v>195</v>
      </c>
      <c r="B182" s="18" t="str">
        <f>VLOOKUP($A182,Questions!$A$2:$X$333,2,0)</f>
        <v>Are you performing off-site backups (i.e., digitally moved off site)?</v>
      </c>
      <c r="C182" s="45" t="str">
        <f>VLOOKUP($A182,'Institution Evaluation'!$A$56:$K$345,3,0)&amp;""</f>
        <v>No</v>
      </c>
      <c r="D182" s="45" t="str">
        <f>VLOOKUP($A182,'Institution Evaluation'!$A$56:$K$345,4,0)&amp;""</f>
        <v>Preservica does not operate a separate off-site backup facility, and does not replicate institution data to another geographic region. The service runs entirely on cloud infrastructure provided by AWS or Microsoft Azure, and all backup copies are held within the geographic region specified in the institution's Order Form; resilience and recovery arrangements are designed so that institution data does not move outside that contracted region. Preservica's recovery commitments are a Recovery Point Objective of 24 hours and a Recovery Time Objective of 4 hours, exercised at least semi-annually, with control effectiveness independently audited as part of its SOC 2 Type II report.</v>
      </c>
      <c r="E182" s="326" t="str">
        <f>VLOOKUP($A182,'Institution Evaluation'!$A$56:$K$345,5,0)&amp;""</f>
        <v>State any plans to implement off-site virtual backups in your environment.</v>
      </c>
      <c r="F182" s="184" t="str">
        <f>VLOOKUP($A182,'Institution Evaluation'!$A$56:$K$345,6,0)&amp;""</f>
        <v/>
      </c>
      <c r="G182" s="30" t="str">
        <f>VLOOKUP($A182,'Institution Evaluation'!$A$56:$K$345,7,0)&amp;""</f>
        <v>Yes</v>
      </c>
      <c r="H182" s="181" t="str">
        <f>VLOOKUP($A182,'Institution Evaluation'!$A$56:$K$345,8,0)&amp;""</f>
        <v/>
      </c>
      <c r="I182" s="45" t="str">
        <f>VLOOKUP($A182,'Institution Evaluation'!$A$56:$K$345,9,0)&amp;""</f>
        <v>Standard Importance</v>
      </c>
      <c r="J182" s="182" t="str">
        <f>VLOOKUP($A182,'Institution Evaluation'!$A$56:$K$345,10,0)&amp;""</f>
        <v/>
      </c>
      <c r="K182" s="48" t="str">
        <f>IF(VLOOKUP($A182,'Institution Evaluation'!$A$56:$K$345,10,0)=TRUE,'Auto Responses'!$J$3,"")</f>
        <v/>
      </c>
    </row>
    <row r="183" spans="1:11" ht="330" x14ac:dyDescent="0.3">
      <c r="A183" s="19" t="s">
        <v>197</v>
      </c>
      <c r="B183" s="18" t="str">
        <f>VLOOKUP($A183,Questions!$A$2:$X$333,2,0)</f>
        <v>Are physical backups taken off-site (i.e., physically moved off site)?</v>
      </c>
      <c r="C183" s="45" t="str">
        <f>VLOOKUP($A183,'Institution Evaluation'!$A$56:$K$345,3,0)&amp;""</f>
        <v>No</v>
      </c>
      <c r="D183" s="45" t="str">
        <f>VLOOKUP($A183,'Institution Evaluation'!$A$56:$K$345,4,0)&amp;""</f>
        <v>Preservica does not operate its own data centres and does not use removable or portable physical media in the delivery of the service, so no physical backup media exists to be taken off site. All institution data is held in AWS or Microsoft Azure cloud storage within the institution's contracted geographic region. Within Preservica's own corporate environment, the use of mobile storage media such as USB drives is not authorised.</v>
      </c>
      <c r="E183" s="326" t="str">
        <f>VLOOKUP($A183,'Institution Evaluation'!$A$56:$K$345,5,0)&amp;""</f>
        <v>State any plans to implement off-site physical backups in your environment.</v>
      </c>
      <c r="F183" s="184" t="str">
        <f>VLOOKUP($A183,'Institution Evaluation'!$A$56:$K$345,6,0)&amp;""</f>
        <v/>
      </c>
      <c r="G183" s="30" t="str">
        <f>VLOOKUP($A183,'Institution Evaluation'!$A$56:$K$345,7,0)&amp;""</f>
        <v>Yes</v>
      </c>
      <c r="H183" s="181" t="str">
        <f>VLOOKUP($A183,'Institution Evaluation'!$A$56:$K$345,8,0)&amp;""</f>
        <v/>
      </c>
      <c r="I183" s="45" t="str">
        <f>VLOOKUP($A183,'Institution Evaluation'!$A$56:$K$345,9,0)&amp;""</f>
        <v>Standard Importance</v>
      </c>
      <c r="J183" s="182" t="str">
        <f>VLOOKUP($A183,'Institution Evaluation'!$A$56:$K$345,10,0)&amp;""</f>
        <v/>
      </c>
      <c r="K183" s="48" t="str">
        <f>IF(VLOOKUP($A183,'Institution Evaluation'!$A$56:$K$345,10,0)=TRUE,'Auto Responses'!$J$3,"")</f>
        <v/>
      </c>
    </row>
    <row r="184" spans="1:11" ht="240" x14ac:dyDescent="0.3">
      <c r="A184" s="19" t="s">
        <v>199</v>
      </c>
      <c r="B184" s="18" t="str">
        <f>VLOOKUP($A184,Questions!$A$2:$X$333,2,0)</f>
        <v>Are data backups encrypted?</v>
      </c>
      <c r="C184" s="45" t="str">
        <f>VLOOKUP($A184,'Institution Evaluation'!$A$56:$K$345,3,0)&amp;""</f>
        <v>Yes</v>
      </c>
      <c r="D184" s="45" t="str">
        <f>VLOOKUP($A184,'Institution Evaluation'!$A$56:$K$345,4,0)&amp;""</f>
        <v>Backups and snapshots are encrypted at rest using AES-256, with keys managed through the key management services of the underlying cloud provider and access restricted to authorised personnel on a least-privilege basis. Backup copies remain within the institution's contracted geographic region.</v>
      </c>
      <c r="E184" s="326" t="str">
        <f>VLOOKUP($A184,'Institution Evaluation'!$A$56:$K$345,5,0)&amp;""</f>
        <v>Summarize the encryption algorithm/strategy you are using to secure backups.</v>
      </c>
      <c r="F184" s="184" t="str">
        <f>VLOOKUP($A184,'Institution Evaluation'!$A$56:$K$345,6,0)&amp;""</f>
        <v/>
      </c>
      <c r="G184" s="30" t="str">
        <f>VLOOKUP($A184,'Institution Evaluation'!$A$56:$K$345,7,0)&amp;""</f>
        <v>Yes</v>
      </c>
      <c r="H184" s="181" t="str">
        <f>VLOOKUP($A184,'Institution Evaluation'!$A$56:$K$345,8,0)&amp;""</f>
        <v/>
      </c>
      <c r="I184" s="45" t="str">
        <f>VLOOKUP($A184,'Institution Evaluation'!$A$56:$K$345,9,0)&amp;""</f>
        <v>Minor Importance</v>
      </c>
      <c r="J184" s="182" t="str">
        <f>VLOOKUP($A184,'Institution Evaluation'!$A$56:$K$345,10,0)&amp;""</f>
        <v/>
      </c>
      <c r="K184" s="48" t="str">
        <f>IF(VLOOKUP($A184,'Institution Evaluation'!$A$56:$K$345,10,0)=TRUE,'Auto Responses'!$J$3,"")</f>
        <v/>
      </c>
    </row>
    <row r="185" spans="1:11" ht="409.5" x14ac:dyDescent="0.3">
      <c r="A185" s="19" t="s">
        <v>201</v>
      </c>
      <c r="B185" s="18" t="str">
        <f>VLOOKUP($A185,Questions!$A$2:$X$333,2,0)</f>
        <v>Do you have a media handling process that is documented and currently implemented that meets established business needs and regulatory requirements, including end-of-life, repurposing, and data-sanitization procedures?</v>
      </c>
      <c r="C185" s="45" t="str">
        <f>VLOOKUP($A185,'Institution Evaluation'!$A$56:$K$345,3,0)&amp;""</f>
        <v>Yes</v>
      </c>
      <c r="D185" s="45" t="str">
        <f>VLOOKUP($A185,'Institution Evaluation'!$A$56:$K$345,4,0)&amp;""</f>
        <v>Preservica does not operate its own data centres and does not use removable physical media in the delivery of the service. Media handling, end-of-life disposal, repurposing and sanitisation of storage hardware are performed by the cloud infrastructure providers (AWS and Microsoft Azure) under their own documented and independently audited processes; Preservica reviews those certifications and attestations at least annually as part of its critical supplier review process. Logical deletion of institution data within the platform is performed by Preservica in accordance with its retention determination and policy; physical destruction of the underlying media is the provider's responsibility. Within Preservica's own corporate environment, the use of mobile storage media such as USB drives is not authorised.</v>
      </c>
      <c r="E185" s="326" t="str">
        <f>VLOOKUP($A185,'Institution Evaluation'!$A$56:$K$345,5,0)&amp;""</f>
        <v>Provide documented details of this process (link or attached).</v>
      </c>
      <c r="F185" s="184" t="str">
        <f>VLOOKUP($A185,'Institution Evaluation'!$A$56:$K$345,6,0)&amp;""</f>
        <v/>
      </c>
      <c r="G185" s="30" t="str">
        <f>VLOOKUP($A185,'Institution Evaluation'!$A$56:$K$345,7,0)&amp;""</f>
        <v>Yes</v>
      </c>
      <c r="H185" s="181" t="str">
        <f>VLOOKUP($A185,'Institution Evaluation'!$A$56:$K$345,8,0)&amp;""</f>
        <v/>
      </c>
      <c r="I185" s="45" t="str">
        <f>VLOOKUP($A185,'Institution Evaluation'!$A$56:$K$345,9,0)&amp;""</f>
        <v>Standard Importance</v>
      </c>
      <c r="J185" s="182" t="str">
        <f>VLOOKUP($A185,'Institution Evaluation'!$A$56:$K$345,10,0)&amp;""</f>
        <v/>
      </c>
      <c r="K185" s="48" t="str">
        <f>IF(VLOOKUP($A185,'Institution Evaluation'!$A$56:$K$345,10,0)=TRUE,'Auto Responses'!$J$3,"")</f>
        <v/>
      </c>
    </row>
    <row r="186" spans="1:11" ht="409.5" x14ac:dyDescent="0.3">
      <c r="A186" s="19" t="s">
        <v>205</v>
      </c>
      <c r="B186" s="18" t="str">
        <f>VLOOKUP($A186,Questions!$A$2:$X$333,2,0)</f>
        <v>Does your staff (or third party) have access to institutional data (e.g., financial, PHI, or other sensitive information) through any means?</v>
      </c>
      <c r="C186" s="45" t="str">
        <f>VLOOKUP($A186,'Institution Evaluation'!$A$56:$K$345,3,0)&amp;""</f>
        <v>Yes</v>
      </c>
      <c r="D186" s="45" t="str">
        <f>VLOOKUP($A186,'Institution Evaluation'!$A$56:$K$345,4,0)&amp;""</f>
        <v>Preservica staff do not have routine or standing access to institution data. Access can occur only through the following limited, controlled paths. (1) Customer Support: access to an institution's environment only in response to an institution-raised support ticket, and only where the institution has explicitly approved that access on the ticket; access uses a support account created in the tenancy's directory that is deliberately visible to the institution, is removed when the need ends, and can be revoked by the institution at any time. (2) Professional Services: where a long-running engagement requires ongoing access, this is granted by the institution at the start of the engagement, either in the tenancy directory or, where Single Sign-On is used, by the institution within its own Identity Provider. (3) Legal requirement: only under a binding order of a competent authority, subject to sign-off by Preservica's Legal team. (4) Imminent security threat: only where necessary to prevent damage or loss, with the approval of Preservica's Chief Information Security Officer. (5) Cloud Operations: as administrators of the underlying SaaS infrastructure, Preservica's Cloud Operations team hold infrastructure-level privileges that carry administrative capability outside the application layer; all such access is logged to Preservica's SIEM and is subject to need-to-know controls, monitoring and audit. In all cases access is least-privilege, logged and auditable. Access rights are reviewed at least every six months and removed when the business need ceases; where an institution's system contains sensitive regulated information, access is terminated immediately upon the institution's request. Where access is required, it is performed by authorised personnel based in the United Kingdom or the United States. Preservica's sub-processors are AWS or Microsoft Azure, as specified in the institution's Order Form, and Cloudflare on Professional edition and above; Preservica accepts responsibility for its sub-processors under its standard Terms and Conditions.</v>
      </c>
      <c r="E186" s="326" t="str">
        <f>VLOOKUP($A186,'Institution Evaluation'!$A$56:$K$345,5,0)&amp;""</f>
        <v>Summarize what access staff (or third parties) have to institutional data.</v>
      </c>
      <c r="F186" s="184" t="str">
        <f>VLOOKUP($A186,'Institution Evaluation'!$A$56:$K$345,6,0)&amp;""</f>
        <v/>
      </c>
      <c r="G186" s="30" t="str">
        <f>VLOOKUP($A186,'Institution Evaluation'!$A$56:$K$345,7,0)&amp;""</f>
        <v>No</v>
      </c>
      <c r="H186" s="181" t="str">
        <f>VLOOKUP($A186,'Institution Evaluation'!$A$56:$K$345,8,0)&amp;""</f>
        <v/>
      </c>
      <c r="I186" s="45" t="str">
        <f>VLOOKUP($A186,'Institution Evaluation'!$A$56:$K$345,9,0)&amp;""</f>
        <v>Standard Importance</v>
      </c>
      <c r="J186" s="182" t="str">
        <f>VLOOKUP($A186,'Institution Evaluation'!$A$56:$K$345,10,0)&amp;""</f>
        <v/>
      </c>
      <c r="K186" s="48" t="str">
        <f>IF(VLOOKUP($A186,'Institution Evaluation'!$A$56:$K$345,10,0)=TRUE,'Auto Responses'!$J$3,"")</f>
        <v/>
      </c>
    </row>
    <row r="187" spans="1:11" ht="409.5" x14ac:dyDescent="0.3">
      <c r="A187" s="19" t="s">
        <v>215</v>
      </c>
      <c r="B187" s="18" t="str">
        <f>VLOOKUP($A187,Questions!$A$2:$X$333,2,0)</f>
        <v>Are involatile backup copies made according to predefined schedules and securely stored and protected?</v>
      </c>
      <c r="C187" s="45" t="str">
        <f>VLOOKUP($A187,'Institution Evaluation'!$A$56:$K$345,3,0)&amp;""</f>
        <v>Yes</v>
      </c>
      <c r="D187" s="45" t="str">
        <f>VLOOKUP($A187,'Institution Evaluation'!$A$56:$K$345,4,0)&amp;""</f>
        <v>Backup copies are taken to a defined schedule sufficient to meet Preservica's contractual Recovery Point Objective of 24 hours — that is, backups are taken at a frequency ensuring no more than 24 hours of data loss — and are held encrypted at rest with AES-256 within the institution's contracted geographic region, with access restricted on a least-privilege basis. Recovery is exercised at least semi-annually against a Recovery Time Objective of 4 hours, and control effectiveness is independently audited as part of Preservica's SOC 2 Type II report, which is available to customers on request. Retention schedules and detailed backup implementation methods are not publicly disclosed. In addition, the platform performs ongoing fixity checking, validating stored content against recorded checksums and alerting on any discrepancy.</v>
      </c>
      <c r="E187" s="326" t="str">
        <f>VLOOKUP($A187,'Institution Evaluation'!$A$56:$K$345,5,0)&amp;""</f>
        <v>If your strategy uses different processes for services and data, ensure that all strategies are clearly stated and supported.</v>
      </c>
      <c r="F187" s="184" t="str">
        <f>VLOOKUP($A187,'Institution Evaluation'!$A$56:$K$345,6,0)&amp;""</f>
        <v/>
      </c>
      <c r="G187" s="30" t="str">
        <f>VLOOKUP($A187,'Institution Evaluation'!$A$56:$K$345,7,0)&amp;""</f>
        <v>Yes</v>
      </c>
      <c r="H187" s="181" t="str">
        <f>VLOOKUP($A187,'Institution Evaluation'!$A$56:$K$345,8,0)&amp;""</f>
        <v/>
      </c>
      <c r="I187" s="45" t="str">
        <f>VLOOKUP($A187,'Institution Evaluation'!$A$56:$K$345,9,0)&amp;""</f>
        <v>Minor Importance</v>
      </c>
      <c r="J187" s="182" t="str">
        <f>VLOOKUP($A187,'Institution Evaluation'!$A$56:$K$345,10,0)&amp;""</f>
        <v/>
      </c>
      <c r="K187" s="48" t="str">
        <f>IF(VLOOKUP($A187,'Institution Evaluation'!$A$56:$K$345,10,0)=TRUE,'Auto Responses'!$J$3,"")</f>
        <v/>
      </c>
    </row>
    <row r="188" spans="1:11" ht="409.5" x14ac:dyDescent="0.3">
      <c r="A188" s="19" t="s">
        <v>217</v>
      </c>
      <c r="B188" s="18" t="str">
        <f>VLOOKUP($A188,Questions!$A$2:$X$333,2,0)</f>
        <v>Do you have a cryptographic key management process (generation, exchange, storage, safeguards, use, vetting, and replacement) that is documented and currently implemented, for all system components (e.g., database, system, web, etc.)?</v>
      </c>
      <c r="C188" s="45" t="str">
        <f>VLOOKUP($A188,'Institution Evaluation'!$A$56:$K$345,3,0)&amp;""</f>
        <v>Yes</v>
      </c>
      <c r="D188" s="45" t="str">
        <f>VLOOKUP($A188,'Institution Evaluation'!$A$56:$K$345,4,0)&amp;""</f>
        <v>Preservica operates a documented cryptographic key management process covering key generation, storage, distribution, rotation, compromise handling, revocation, and backup and destruction, and maintains an inventory of the cryptographic material in use across the platform's database, system and web components. Keys are managed through the key management services of the underlying cloud provider, are protected against unauthorised access, are stored separately from the data they protect where technically feasible, and access is restricted to authorised personnel on a least-privilege basis. Institutions hosted on dedicated infrastructure hold unique keys that are not shared with any other customer. Known or suspected key compromise is treated as a security incident and handled under documented procedures. The process is maintained in accordance with ISO/IEC 27001:2022 controls and its effectiveness is audited as part of Preservica's annual SOC 2 Type II report.</v>
      </c>
      <c r="E188" s="326" t="str">
        <f>VLOOKUP($A188,'Institution Evaluation'!$A$56:$K$345,5,0)&amp;""</f>
        <v>Summarize your cryptographic key management process.</v>
      </c>
      <c r="F188" s="184" t="str">
        <f>VLOOKUP($A188,'Institution Evaluation'!$A$56:$K$345,6,0)&amp;""</f>
        <v/>
      </c>
      <c r="G188" s="30" t="str">
        <f>VLOOKUP($A188,'Institution Evaluation'!$A$56:$K$345,7,0)&amp;""</f>
        <v>Yes</v>
      </c>
      <c r="H188" s="181" t="str">
        <f>VLOOKUP($A188,'Institution Evaluation'!$A$56:$K$345,8,0)&amp;""</f>
        <v/>
      </c>
      <c r="I188" s="45" t="str">
        <f>VLOOKUP($A188,'Institution Evaluation'!$A$56:$K$345,9,0)&amp;""</f>
        <v>Minor Importance</v>
      </c>
      <c r="J188" s="182" t="str">
        <f>VLOOKUP($A188,'Institution Evaluation'!$A$56:$K$345,10,0)&amp;""</f>
        <v/>
      </c>
      <c r="K188" s="48" t="str">
        <f>IF(VLOOKUP($A188,'Institution Evaluation'!$A$56:$K$345,10,0)=TRUE,'Auto Responses'!$J$3,"")</f>
        <v/>
      </c>
    </row>
    <row r="189" spans="1:11" s="1" customFormat="1" ht="17.5" x14ac:dyDescent="0.25">
      <c r="A189" s="63" t="str">
        <f>VLOOKUP(LEFT($A190,4),'Auto Responses'!$N$4:$O$38,2,0)&amp;""</f>
        <v xml:space="preserve"> Datacenter</v>
      </c>
      <c r="B189" s="22"/>
      <c r="C189" s="31"/>
      <c r="D189" s="31"/>
      <c r="E189" s="327"/>
      <c r="F189" s="129" t="s">
        <v>632</v>
      </c>
      <c r="G189" s="331" t="s">
        <v>627</v>
      </c>
      <c r="H189" s="331" t="s">
        <v>628</v>
      </c>
      <c r="I189" s="331" t="s">
        <v>629</v>
      </c>
      <c r="J189" s="331" t="s">
        <v>630</v>
      </c>
      <c r="K189" s="31"/>
    </row>
    <row r="190" spans="1:11" ht="409.5" x14ac:dyDescent="0.3">
      <c r="A190" s="19" t="s">
        <v>247</v>
      </c>
      <c r="B190" s="18" t="str">
        <f>VLOOKUP($A190,Questions!$A$2:$X$333,2,0)</f>
        <v>Select your hosting option.</v>
      </c>
      <c r="C190" s="45" t="str">
        <f>VLOOKUP($A190,'Institution Evaluation'!$A$56:$K$345,3,0)&amp;""</f>
        <v>Azure</v>
      </c>
      <c r="D190" s="45" t="str">
        <f>VLOOKUP($A190,'Institution Evaluation'!$A$56:$K$345,4,0)&amp;""</f>
        <v>Preservica is hosted on third-party cloud infrastructure provided by Microsoft Azure or Amazon Web Services, as specified in the Data Residency section of the customer's Order Form. Cloudflare is used for Professional edition environments and above. Preservica does not operate its own data centres; physical security and facility operation of the underlying data centres are the responsibility of the infrastructure provider under their own independently audited certifications. The division of responsibility is set out in Preservica's Shared Responsibility Model: https://website-assets.preservica.com/production/resources/Shared-Responsibility-Model-Global-v1.1.pdf</v>
      </c>
      <c r="E190" s="326" t="str">
        <f>VLOOKUP($A190,'Institution Evaluation'!$A$56:$K$345,5,0)&amp;""</f>
        <v/>
      </c>
      <c r="F190" s="184" t="str">
        <f>VLOOKUP($A190,'Institution Evaluation'!$A$56:$K$345,6,0)&amp;""</f>
        <v/>
      </c>
      <c r="G190" s="30" t="str">
        <f>VLOOKUP($A190,'Institution Evaluation'!$A$56:$K$345,7,0)&amp;""</f>
        <v>Not scored</v>
      </c>
      <c r="H190" s="181" t="str">
        <f>VLOOKUP($A190,'Institution Evaluation'!$A$56:$K$345,8,0)&amp;""</f>
        <v/>
      </c>
      <c r="I190" s="45" t="str">
        <f>VLOOKUP($A190,'Institution Evaluation'!$A$56:$K$345,9,0)&amp;""</f>
        <v/>
      </c>
      <c r="J190" s="182" t="str">
        <f>VLOOKUP($A190,'Institution Evaluation'!$A$56:$K$345,10,0)&amp;""</f>
        <v/>
      </c>
      <c r="K190" s="48" t="str">
        <f>IF(VLOOKUP($A190,'Institution Evaluation'!$A$56:$K$345,10,0)=TRUE,'Auto Responses'!$J$3,"")</f>
        <v/>
      </c>
    </row>
    <row r="191" spans="1:11" ht="409.5" x14ac:dyDescent="0.3">
      <c r="A191" s="19" t="s">
        <v>250</v>
      </c>
      <c r="B191" s="18" t="str">
        <f>VLOOKUP($A191,Questions!$A$2:$X$333,2,0)</f>
        <v>Are you generally able to accommodate storing each institution's data within its geographic region?</v>
      </c>
      <c r="C191" s="45" t="str">
        <f>VLOOKUP($A191,'Institution Evaluation'!$A$56:$K$345,3,0)&amp;""</f>
        <v>Yes</v>
      </c>
      <c r="D191" s="45" t="str">
        <f>VLOOKUP($A191,'Institution Evaluation'!$A$56:$K$345,4,0)&amp;""</f>
        <v>Customer data is stored and processed only within the geographic region specified in the Data Residency section of the customer's Order Form. This is a contractual and enforceable commitment: data is not moved, replicated or processed outside that region except where explicitly instructed by the customer or where required by applicable law. Sub-processors are approved and used in a region-dependent manner consistent with the customer's contracted data residency requirements. Preservica operates in multiple regions and territories; the regions available for a given deployment are confirmed as part of the contracting process.</v>
      </c>
      <c r="E191" s="326" t="str">
        <f>VLOOKUP($A191,'Institution Evaluation'!$A$56:$K$345,5,0)&amp;""</f>
        <v>Please indicate which geographic regions you can provide storage in the Additional Info column.</v>
      </c>
      <c r="F191" s="184" t="str">
        <f>VLOOKUP($A191,'Institution Evaluation'!$A$56:$K$345,6,0)&amp;""</f>
        <v/>
      </c>
      <c r="G191" s="30" t="str">
        <f>VLOOKUP($A191,'Institution Evaluation'!$A$56:$K$345,7,0)&amp;""</f>
        <v>Yes</v>
      </c>
      <c r="H191" s="181" t="str">
        <f>VLOOKUP($A191,'Institution Evaluation'!$A$56:$K$345,8,0)&amp;""</f>
        <v/>
      </c>
      <c r="I191" s="45" t="str">
        <f>VLOOKUP($A191,'Institution Evaluation'!$A$56:$K$345,9,0)&amp;""</f>
        <v>Standard Importance</v>
      </c>
      <c r="J191" s="182" t="str">
        <f>VLOOKUP($A191,'Institution Evaluation'!$A$56:$K$345,10,0)&amp;""</f>
        <v/>
      </c>
      <c r="K191" s="48" t="str">
        <f>IF(VLOOKUP($A191,'Institution Evaluation'!$A$56:$K$345,10,0)=TRUE,'Auto Responses'!$J$3,"")</f>
        <v/>
      </c>
    </row>
    <row r="192" spans="1:11" s="1" customFormat="1" ht="17.5" x14ac:dyDescent="0.25">
      <c r="A192" s="63" t="str">
        <f>VLOOKUP(LEFT($A193,4),'Auto Responses'!$N$4:$O$38,2,0)&amp;""</f>
        <v xml:space="preserve"> Firewalls, IDS, IPS, and Networking</v>
      </c>
      <c r="B192" s="22"/>
      <c r="C192" s="31"/>
      <c r="D192" s="31"/>
      <c r="E192" s="327"/>
      <c r="F192" s="129" t="s">
        <v>632</v>
      </c>
      <c r="G192" s="331" t="s">
        <v>627</v>
      </c>
      <c r="H192" s="331" t="s">
        <v>628</v>
      </c>
      <c r="I192" s="331" t="s">
        <v>629</v>
      </c>
      <c r="J192" s="331" t="s">
        <v>630</v>
      </c>
      <c r="K192" s="31"/>
    </row>
    <row r="193" spans="1:11" ht="409.5" x14ac:dyDescent="0.3">
      <c r="A193" s="19" t="s">
        <v>270</v>
      </c>
      <c r="B193" s="18" t="str">
        <f>VLOOKUP($A193,Questions!$A$2:$X$333,2,0)</f>
        <v>Are you utilizing a stateful packet inspection (SPI) firewall?*</v>
      </c>
      <c r="C193" s="45" t="str">
        <f>VLOOKUP($A193,'Institution Evaluation'!$A$56:$K$345,3,0)&amp;""</f>
        <v>Yes</v>
      </c>
      <c r="D193" s="45" t="str">
        <f>VLOOKUP($A193,'Institution Evaluation'!$A$56:$K$345,4,0)&amp;""</f>
        <v>Ingress from public to private networks is controlled by cloud-native stateful network access controls operating on a deny-by-default basis, permitting only the specific services required. All cloud environments are contained within isolated virtual private networks; communication between environments is prohibited by default and permitted only where strictly necessary and explicitly approved, and production and non-production networks are logically separated. Servers additionally run host-based firewalls that drop all inbound traffic other than known services. Rules are managed by Preservica's Cloud Operations team under the documented change management process.</v>
      </c>
      <c r="E193" s="326" t="str">
        <f>VLOOKUP($A193,'Institution Evaluation'!$A$56:$K$345,5,0)&amp;""</f>
        <v>Describe the currently implemented SPI firewall.</v>
      </c>
      <c r="F193" s="184" t="str">
        <f>VLOOKUP($A193,'Institution Evaluation'!$A$56:$K$345,6,0)&amp;""</f>
        <v/>
      </c>
      <c r="G193" s="30" t="str">
        <f>VLOOKUP($A193,'Institution Evaluation'!$A$56:$K$345,7,0)&amp;""</f>
        <v>Yes</v>
      </c>
      <c r="H193" s="181" t="str">
        <f>VLOOKUP($A193,'Institution Evaluation'!$A$56:$K$345,8,0)&amp;""</f>
        <v/>
      </c>
      <c r="I193" s="45" t="str">
        <f>VLOOKUP($A193,'Institution Evaluation'!$A$56:$K$345,9,0)&amp;""</f>
        <v>Critical Importance</v>
      </c>
      <c r="J193" s="182" t="str">
        <f>VLOOKUP($A193,'Institution Evaluation'!$A$56:$K$345,10,0)&amp;""</f>
        <v/>
      </c>
      <c r="K193" s="48" t="str">
        <f>IF(VLOOKUP($A193,'Institution Evaluation'!$A$56:$K$345,10,0)=TRUE,'Auto Responses'!$J$3,"")</f>
        <v/>
      </c>
    </row>
    <row r="194" spans="1:11" ht="409.5" x14ac:dyDescent="0.3">
      <c r="A194" s="19" t="s">
        <v>272</v>
      </c>
      <c r="B194" s="18" t="str">
        <f>VLOOKUP($A194,Questions!$A$2:$X$333,2,0)</f>
        <v>Do you have a documented policy for firewall change requests?*</v>
      </c>
      <c r="C194" s="45" t="str">
        <f>VLOOKUP($A194,'Institution Evaluation'!$A$56:$K$345,3,0)&amp;""</f>
        <v>Yes</v>
      </c>
      <c r="D194" s="45" t="str">
        <f>VLOOKUP($A194,'Institution Evaluation'!$A$56:$K$345,4,0)&amp;""</f>
        <v>Firewall and network access control changes are managed under Preservica's documented Change Management procedure, which governs the authorisation, testing and approval of all system changes and is independently tested within Preservica's annual SOC 2 Type II audit. Changes are documented in tickets and subject to quality assurance before implementation. A Change Advisory Board, comprising the Cloud Operations team and chaired by the Operations Director as Change Manager, meets on a fortnightly cycle and approves or denies requests on a holistic view of all changes in the period. The procedure provides for rollback of changes where necessary, and production access is restricted to authorised Operations staff.</v>
      </c>
      <c r="E194" s="326" t="str">
        <f>VLOOKUP($A194,'Institution Evaluation'!$A$56:$K$345,5,0)&amp;""</f>
        <v>Describe your documented firewall change request policy.</v>
      </c>
      <c r="F194" s="184" t="str">
        <f>VLOOKUP($A194,'Institution Evaluation'!$A$56:$K$345,6,0)&amp;""</f>
        <v/>
      </c>
      <c r="G194" s="30" t="str">
        <f>VLOOKUP($A194,'Institution Evaluation'!$A$56:$K$345,7,0)&amp;""</f>
        <v>Yes</v>
      </c>
      <c r="H194" s="181" t="str">
        <f>VLOOKUP($A194,'Institution Evaluation'!$A$56:$K$345,8,0)&amp;""</f>
        <v/>
      </c>
      <c r="I194" s="45" t="str">
        <f>VLOOKUP($A194,'Institution Evaluation'!$A$56:$K$345,9,0)&amp;""</f>
        <v>Critical Importance</v>
      </c>
      <c r="J194" s="182" t="str">
        <f>VLOOKUP($A194,'Institution Evaluation'!$A$56:$K$345,10,0)&amp;""</f>
        <v/>
      </c>
      <c r="K194" s="48" t="str">
        <f>IF(VLOOKUP($A194,'Institution Evaluation'!$A$56:$K$345,10,0)=TRUE,'Auto Responses'!$J$3,"")</f>
        <v/>
      </c>
    </row>
    <row r="195" spans="1:11" ht="330" x14ac:dyDescent="0.3">
      <c r="A195" s="19" t="s">
        <v>274</v>
      </c>
      <c r="B195" s="18" t="str">
        <f>VLOOKUP($A195,Questions!$A$2:$X$333,2,0)</f>
        <v>Have you implemented an intrusion detection system (network-based)?*</v>
      </c>
      <c r="C195" s="45" t="str">
        <f>VLOOKUP($A195,'Institution Evaluation'!$A$56:$K$345,3,0)&amp;""</f>
        <v>Yes</v>
      </c>
      <c r="D195" s="45" t="str">
        <f>VLOOKUP($A195,'Institution Evaluation'!$A$56:$K$345,4,0)&amp;""</f>
        <v>Preservica has implemented Extended Detection and Response (XDR) capabilities across all applicable infrastructure, providing network-based intrusion detection. Detections feed 24x7x365 security operations centre and SIEM monitoring, with relevant infrastructure logs retained for a minimum of 30 days. Coverage of these controls is independently tested within Preservica's annual SOC 2 Type II audit.</v>
      </c>
      <c r="E195" s="326" t="str">
        <f>VLOOKUP($A195,'Institution Evaluation'!$A$56:$K$345,5,0)&amp;""</f>
        <v>Describe the currently implemented IDS.</v>
      </c>
      <c r="F195" s="184" t="str">
        <f>VLOOKUP($A195,'Institution Evaluation'!$A$56:$K$345,6,0)&amp;""</f>
        <v/>
      </c>
      <c r="G195" s="30" t="str">
        <f>VLOOKUP($A195,'Institution Evaluation'!$A$56:$K$345,7,0)&amp;""</f>
        <v>Yes</v>
      </c>
      <c r="H195" s="181" t="str">
        <f>VLOOKUP($A195,'Institution Evaluation'!$A$56:$K$345,8,0)&amp;""</f>
        <v/>
      </c>
      <c r="I195" s="45" t="str">
        <f>VLOOKUP($A195,'Institution Evaluation'!$A$56:$K$345,9,0)&amp;""</f>
        <v>Critical Importance</v>
      </c>
      <c r="J195" s="182" t="str">
        <f>VLOOKUP($A195,'Institution Evaluation'!$A$56:$K$345,10,0)&amp;""</f>
        <v/>
      </c>
      <c r="K195" s="48" t="str">
        <f>IF(VLOOKUP($A195,'Institution Evaluation'!$A$56:$K$345,10,0)=TRUE,'Auto Responses'!$J$3,"")</f>
        <v/>
      </c>
    </row>
    <row r="196" spans="1:11" ht="375" x14ac:dyDescent="0.3">
      <c r="A196" s="19" t="s">
        <v>276</v>
      </c>
      <c r="B196" s="18" t="str">
        <f>VLOOKUP($A196,Questions!$A$2:$X$333,2,0)</f>
        <v>Do you employ host-based intrusion detection?*</v>
      </c>
      <c r="C196" s="45" t="str">
        <f>VLOOKUP($A196,'Institution Evaluation'!$A$56:$K$345,3,0)&amp;""</f>
        <v>Yes</v>
      </c>
      <c r="D196" s="45" t="str">
        <f>VLOOKUP($A196,'Institution Evaluation'!$A$56:$K$345,4,0)&amp;""</f>
        <v>Preservica has implemented Extended Detection and Response (XDR) capabilities across all applicable infrastructure, providing host-based intrusion detection on service hosts in addition to network-based detection. Detections feed 24x7x365 security operations centre and SIEM monitoring, with relevant infrastructure logs retained for a minimum of 30 days. Coverage of these controls is independently tested within Preservica's annual SOC 2 Type II audit.</v>
      </c>
      <c r="E196" s="326" t="str">
        <f>VLOOKUP($A196,'Institution Evaluation'!$A$56:$K$345,5,0)&amp;""</f>
        <v>Describe the currently implemented host-based IDS solution(s).</v>
      </c>
      <c r="F196" s="184" t="str">
        <f>VLOOKUP($A196,'Institution Evaluation'!$A$56:$K$345,6,0)&amp;""</f>
        <v/>
      </c>
      <c r="G196" s="30" t="str">
        <f>VLOOKUP($A196,'Institution Evaluation'!$A$56:$K$345,7,0)&amp;""</f>
        <v>Yes</v>
      </c>
      <c r="H196" s="181" t="str">
        <f>VLOOKUP($A196,'Institution Evaluation'!$A$56:$K$345,8,0)&amp;""</f>
        <v/>
      </c>
      <c r="I196" s="45" t="str">
        <f>VLOOKUP($A196,'Institution Evaluation'!$A$56:$K$345,9,0)&amp;""</f>
        <v>Critical Importance</v>
      </c>
      <c r="J196" s="182" t="str">
        <f>VLOOKUP($A196,'Institution Evaluation'!$A$56:$K$345,10,0)&amp;""</f>
        <v/>
      </c>
      <c r="K196" s="48" t="str">
        <f>IF(VLOOKUP($A196,'Institution Evaluation'!$A$56:$K$345,10,0)=TRUE,'Auto Responses'!$J$3,"")</f>
        <v/>
      </c>
    </row>
    <row r="197" spans="1:11" ht="409.5" x14ac:dyDescent="0.3">
      <c r="A197" s="19" t="s">
        <v>278</v>
      </c>
      <c r="B197" s="18" t="str">
        <f>VLOOKUP($A197,Questions!$A$2:$X$333,2,0)</f>
        <v>Are audit logs available for all changes to the network, firewall, IDS, and IPS systems?*</v>
      </c>
      <c r="C197" s="45" t="str">
        <f>VLOOKUP($A197,'Institution Evaluation'!$A$56:$K$345,3,0)&amp;""</f>
        <v>Yes</v>
      </c>
      <c r="D197" s="45" t="str">
        <f>VLOOKUP($A197,'Institution Evaluation'!$A$56:$K$345,4,0)&amp;""</f>
        <v>Changes to network, firewall and intrusion detection and prevention configuration are recorded as documented change tickets under Preservica's Change Management procedure, which is independently tested within its annual SOC 2 Type II audit. Preservica collects, collates and monitors the underlying infrastructure logs for the service, retaining them for a minimum of 30 days and feeding them into 24x7x365 security operations centre and SIEM monitoring. Logs are shipped to a central SIEM, so local modification is detectable, and access to log data is restricted to authorised personnel.</v>
      </c>
      <c r="E197" s="326" t="str">
        <f>VLOOKUP($A197,'Institution Evaluation'!$A$56:$K$345,5,0)&amp;""</f>
        <v>Describe your current network systems logging strategy.</v>
      </c>
      <c r="F197" s="184" t="str">
        <f>VLOOKUP($A197,'Institution Evaluation'!$A$56:$K$345,6,0)&amp;""</f>
        <v/>
      </c>
      <c r="G197" s="30" t="str">
        <f>VLOOKUP($A197,'Institution Evaluation'!$A$56:$K$345,7,0)&amp;""</f>
        <v>Yes</v>
      </c>
      <c r="H197" s="181" t="str">
        <f>VLOOKUP($A197,'Institution Evaluation'!$A$56:$K$345,8,0)&amp;""</f>
        <v/>
      </c>
      <c r="I197" s="45" t="str">
        <f>VLOOKUP($A197,'Institution Evaluation'!$A$56:$K$345,9,0)&amp;""</f>
        <v>Critical Importance</v>
      </c>
      <c r="J197" s="182" t="str">
        <f>VLOOKUP($A197,'Institution Evaluation'!$A$56:$K$345,10,0)&amp;""</f>
        <v/>
      </c>
      <c r="K197" s="48" t="str">
        <f>IF(VLOOKUP($A197,'Institution Evaluation'!$A$56:$K$345,10,0)=TRUE,'Auto Responses'!$J$3,"")</f>
        <v/>
      </c>
    </row>
    <row r="198" spans="1:11" ht="409.5" x14ac:dyDescent="0.3">
      <c r="A198" s="19" t="s">
        <v>286</v>
      </c>
      <c r="B198" s="18" t="str">
        <f>VLOOKUP($A198,Questions!$A$2:$X$333,2,0)</f>
        <v>Are you employing any next-generation persistent threat (NGPT) monitoring?</v>
      </c>
      <c r="C198" s="45" t="str">
        <f>VLOOKUP($A198,'Institution Evaluation'!$A$56:$K$345,3,0)&amp;""</f>
        <v>Yes</v>
      </c>
      <c r="D198" s="45" t="str">
        <f>VLOOKUP($A198,'Institution Evaluation'!$A$56:$K$345,4,0)&amp;""</f>
        <v>Preservica has implemented Extended Detection and Response (XDR) capabilities across all applicable infrastructure, with 24x7x365 security operations centre and SIEM monitoring of platform activity. This is supported by a threat management capability drawing on multiple sources — software vendors, trusted third parties, open-source intelligence, customer feedback and information security communities — with Preservica's Information Security team maintaining active subscriptions to threat intelligence and vulnerability feeds. Continuous infrastructure vulnerability detection and response operates across the platform and is reviewed at least monthly.</v>
      </c>
      <c r="E198" s="326" t="str">
        <f>VLOOKUP($A198,'Institution Evaluation'!$A$56:$K$345,5,0)&amp;""</f>
        <v>Describe your NGPT monitoring strategy.</v>
      </c>
      <c r="F198" s="184" t="str">
        <f>VLOOKUP($A198,'Institution Evaluation'!$A$56:$K$345,6,0)&amp;""</f>
        <v/>
      </c>
      <c r="G198" s="30" t="str">
        <f>VLOOKUP($A198,'Institution Evaluation'!$A$56:$K$345,7,0)&amp;""</f>
        <v>Yes</v>
      </c>
      <c r="H198" s="181" t="str">
        <f>VLOOKUP($A198,'Institution Evaluation'!$A$56:$K$345,8,0)&amp;""</f>
        <v/>
      </c>
      <c r="I198" s="45" t="str">
        <f>VLOOKUP($A198,'Institution Evaluation'!$A$56:$K$345,9,0)&amp;""</f>
        <v>Standard Importance</v>
      </c>
      <c r="J198" s="182" t="str">
        <f>VLOOKUP($A198,'Institution Evaluation'!$A$56:$K$345,10,0)&amp;""</f>
        <v/>
      </c>
      <c r="K198" s="48" t="str">
        <f>IF(VLOOKUP($A198,'Institution Evaluation'!$A$56:$K$345,10,0)=TRUE,'Auto Responses'!$J$3,"")</f>
        <v/>
      </c>
    </row>
    <row r="199" spans="1:11" s="1" customFormat="1" ht="17.5" x14ac:dyDescent="0.25">
      <c r="A199" s="63" t="str">
        <f>VLOOKUP(LEFT($A200,4),'Auto Responses'!$N$4:$O$38,2,0)&amp;""</f>
        <v xml:space="preserve"> Policies, Processes, and Procedures</v>
      </c>
      <c r="B199" s="22"/>
      <c r="C199" s="31"/>
      <c r="D199" s="31"/>
      <c r="E199" s="327"/>
      <c r="F199" s="129" t="s">
        <v>632</v>
      </c>
      <c r="G199" s="331" t="s">
        <v>627</v>
      </c>
      <c r="H199" s="331" t="s">
        <v>628</v>
      </c>
      <c r="I199" s="331" t="s">
        <v>629</v>
      </c>
      <c r="J199" s="331" t="s">
        <v>630</v>
      </c>
      <c r="K199" s="31"/>
    </row>
    <row r="200" spans="1:11" ht="105" x14ac:dyDescent="0.3">
      <c r="A200" s="19" t="s">
        <v>113</v>
      </c>
      <c r="B200" s="18" t="str">
        <f>VLOOKUP($A200,Questions!$A$2:$X$333,2,0)</f>
        <v>Is your company subject to the institution's geographic region's laws and regulations?*</v>
      </c>
      <c r="C200" s="45" t="str">
        <f>VLOOKUP($A200,'Institution Evaluation'!$A$56:$K$345,3,0)&amp;""</f>
        <v>Yes</v>
      </c>
      <c r="D200" s="45" t="str">
        <f>VLOOKUP($A200,'Institution Evaluation'!$A$56:$K$345,4,0)&amp;""</f>
        <v>Preservica will comply with applicable laws relevant to the services. Insititutions may negotiate jurisidction on Enterprise and above.</v>
      </c>
      <c r="E200" s="326" t="str">
        <f>VLOOKUP($A200,'Institution Evaluation'!$A$56:$K$345,5,0)&amp;""</f>
        <v>State the country that governs and regulates your company.</v>
      </c>
      <c r="F200" s="184" t="str">
        <f>VLOOKUP($A200,'Institution Evaluation'!$A$56:$K$345,6,0)&amp;""</f>
        <v/>
      </c>
      <c r="G200" s="30" t="str">
        <f>VLOOKUP($A200,'Institution Evaluation'!$A$56:$K$345,7,0)&amp;""</f>
        <v>Yes</v>
      </c>
      <c r="H200" s="181" t="str">
        <f>VLOOKUP($A200,'Institution Evaluation'!$A$56:$K$345,8,0)&amp;""</f>
        <v/>
      </c>
      <c r="I200" s="45" t="str">
        <f>VLOOKUP($A200,'Institution Evaluation'!$A$56:$K$345,9,0)&amp;""</f>
        <v>Critical Importance</v>
      </c>
      <c r="J200" s="182" t="str">
        <f>VLOOKUP($A200,'Institution Evaluation'!$A$56:$K$345,10,0)&amp;""</f>
        <v/>
      </c>
      <c r="K200" s="48" t="str">
        <f>IF(VLOOKUP($A200,'Institution Evaluation'!$A$56:$K$345,10,0)=TRUE,'Auto Responses'!$J$3,"")</f>
        <v/>
      </c>
    </row>
    <row r="201" spans="1:11" ht="285" x14ac:dyDescent="0.3">
      <c r="A201" s="19" t="s">
        <v>115</v>
      </c>
      <c r="B201" s="18" t="str">
        <f>VLOOKUP($A201,Questions!$A$2:$X$333,2,0)</f>
        <v>Can you accommodate encryption requirements using open standards?</v>
      </c>
      <c r="C201" s="45" t="str">
        <f>VLOOKUP($A201,'Institution Evaluation'!$A$56:$K$345,3,0)&amp;""</f>
        <v>Yes</v>
      </c>
      <c r="D201" s="45" t="str">
        <f>VLOOKUP($A201,'Institution Evaluation'!$A$56:$K$345,4,0)&amp;""</f>
        <v>Yes. Data in transit is protected using TLS 1.2 or TLS 1.3 only; no earlier TLS or SSL version is enabled or supported. The cipher suites in use are strong authenticated-encryption suites, reviewed regularly and updated in line with industry best practice. Customer data at rest is encrypted using AES-256, with key management provided by the cloud service provider's key management services.</v>
      </c>
      <c r="E201" s="326" t="str">
        <f>VLOOKUP($A201,'Institution Evaluation'!$A$56:$K$345,5,0)&amp;""</f>
        <v/>
      </c>
      <c r="F201" s="184" t="str">
        <f>VLOOKUP($A201,'Institution Evaluation'!$A$56:$K$345,6,0)&amp;""</f>
        <v/>
      </c>
      <c r="G201" s="30" t="str">
        <f>VLOOKUP($A201,'Institution Evaluation'!$A$56:$K$345,7,0)&amp;""</f>
        <v>Yes</v>
      </c>
      <c r="H201" s="181" t="str">
        <f>VLOOKUP($A201,'Institution Evaluation'!$A$56:$K$345,8,0)&amp;""</f>
        <v/>
      </c>
      <c r="I201" s="45" t="str">
        <f>VLOOKUP($A201,'Institution Evaluation'!$A$56:$K$345,9,0)&amp;""</f>
        <v>Standard Importance</v>
      </c>
      <c r="J201" s="182" t="str">
        <f>VLOOKUP($A201,'Institution Evaluation'!$A$56:$K$345,10,0)&amp;""</f>
        <v/>
      </c>
      <c r="K201" s="48" t="str">
        <f>IF(VLOOKUP($A201,'Institution Evaluation'!$A$56:$K$345,10,0)=TRUE,'Auto Responses'!$J$3,"")</f>
        <v/>
      </c>
    </row>
    <row r="202" spans="1:11" ht="409.5" x14ac:dyDescent="0.3">
      <c r="A202" s="19" t="s">
        <v>127</v>
      </c>
      <c r="B202" s="18" t="str">
        <f>VLOOKUP($A202,Questions!$A$2:$X$333,2,0)</f>
        <v>Will you comply with applicable breach notification laws?</v>
      </c>
      <c r="C202" s="45" t="str">
        <f>VLOOKUP($A202,'Institution Evaluation'!$A$56:$K$345,3,0)&amp;""</f>
        <v>Yes</v>
      </c>
      <c r="D202" s="45" t="str">
        <f>VLOOKUP($A202,'Institution Evaluation'!$A$56:$K$345,4,0)&amp;""</f>
        <v>Yes. Preservica will comply with applicable breach notification laws, which vary by customer geography. In addition, under Preservica's standard Terms and Conditions, in the event of a confirmed data breach Preservica commits by edition to: Enterprise and above — promptly inform the customer within 24 hours, including any relevant details, where legally permitted; manage the incident through to resolution in consultation with the customer and Preservica's advisers; and provide regular updates. Professional, Professional Plus and Starter Plus — promptly inform the customer within 48 hours, including any relevant details, where legally permitted; manage the incident through to resolution in consultation with Preservica's advisers; and, for Professional and Professional Plus, provide regular updates. These are Preservica's standard terms; a customer's signed agreement takes precedence. Notification commitments apply to confirmed incidents and breaches. Preservica maintains an Incident Management Policy supported by a Cyber Incident Response Plan with scenario-specific playbooks and a Crisis Management Communications Plan; a full response exercise is conducted at least annually, and incident management is within the scope of Preservica's ISO/IEC 27001:2022 certification and its SOC 2 Type II audit. Where an incident has affected, or is likely to have affected, personal data, Preservica's Data Protection Officer is engaged and advises on assessment, containment and notification; the Data Protection Officer is contactable at Privacy@preservica.com.</v>
      </c>
      <c r="E202" s="326" t="str">
        <f>VLOOKUP($A202,'Institution Evaluation'!$A$56:$K$345,5,0)&amp;""</f>
        <v>State how quickly the institution will be notified of a data breach or security incident.</v>
      </c>
      <c r="F202" s="184" t="str">
        <f>VLOOKUP($A202,'Institution Evaluation'!$A$56:$K$345,6,0)&amp;""</f>
        <v/>
      </c>
      <c r="G202" s="30" t="str">
        <f>VLOOKUP($A202,'Institution Evaluation'!$A$56:$K$345,7,0)&amp;""</f>
        <v>Yes</v>
      </c>
      <c r="H202" s="181" t="str">
        <f>VLOOKUP($A202,'Institution Evaluation'!$A$56:$K$345,8,0)&amp;""</f>
        <v/>
      </c>
      <c r="I202" s="45" t="str">
        <f>VLOOKUP($A202,'Institution Evaluation'!$A$56:$K$345,9,0)&amp;""</f>
        <v>Minor Importance</v>
      </c>
      <c r="J202" s="182" t="str">
        <f>VLOOKUP($A202,'Institution Evaluation'!$A$56:$K$345,10,0)&amp;""</f>
        <v/>
      </c>
      <c r="K202" s="48" t="str">
        <f>IF(VLOOKUP($A202,'Institution Evaluation'!$A$56:$K$345,10,0)=TRUE,'Auto Responses'!$J$3,"")</f>
        <v/>
      </c>
    </row>
    <row r="203" spans="1:11" ht="409.5" x14ac:dyDescent="0.3">
      <c r="A203" s="19" t="s">
        <v>129</v>
      </c>
      <c r="B203" s="18" t="str">
        <f>VLOOKUP($A203,Questions!$A$2:$X$333,2,0)</f>
        <v>Do you have an information security awareness program?</v>
      </c>
      <c r="C203" s="45" t="str">
        <f>VLOOKUP($A203,'Institution Evaluation'!$A$56:$K$345,3,0)&amp;""</f>
        <v>Yes</v>
      </c>
      <c r="D203" s="45" t="str">
        <f>VLOOKUP($A203,'Institution Evaluation'!$A$56:$K$345,4,0)&amp;""</f>
        <v>Yes. Preservica's security awareness programme is governed by a documented Security Awareness Training Policy applying to all Preservica staff, temporary staff, consultants and third parties who have access to Preservica information, Preservica customer information, or the facilities, technologies or services used to process such information. Training is completed during onboarding and at regular intervals not exceeding annually, with additional ad hoc training following significant security incidents or threats, or material regulatory, policy or technology changes. Content covers recognising and reporting phishing, social engineering, credential harvesting and business email compromise; password and information handling practice; data classification and secure disposal; secure handling, transmission, storage, retention and disposal of sensitive information; safe browsing; physical security; acceptable use of company resources; the importance of software updates and patching; and incident and breach reporting procedures. Privileged users and staff with access to customer data receive additional role-specific training. Preservica maintains records of assigned and completed training, validates understanding through quizzes, assessments and simulated phishing exercises, follows up with those requiring remedial training, and tracks completion rates, overdue assignments, phishing simulation performance and recurring deficiencies. Third parties and consultants are required, contractually or by equivalent means, to have training equal to or greater than that required of Preservica's own staff.</v>
      </c>
      <c r="E203" s="326" t="str">
        <f>VLOOKUP($A203,'Institution Evaluation'!$A$56:$K$345,5,0)&amp;""</f>
        <v>Summarize your information security awareness program.</v>
      </c>
      <c r="F203" s="184" t="str">
        <f>VLOOKUP($A203,'Institution Evaluation'!$A$56:$K$345,6,0)&amp;""</f>
        <v/>
      </c>
      <c r="G203" s="30" t="str">
        <f>VLOOKUP($A203,'Institution Evaluation'!$A$56:$K$345,7,0)&amp;""</f>
        <v>Yes</v>
      </c>
      <c r="H203" s="181" t="str">
        <f>VLOOKUP($A203,'Institution Evaluation'!$A$56:$K$345,8,0)&amp;""</f>
        <v/>
      </c>
      <c r="I203" s="45" t="str">
        <f>VLOOKUP($A203,'Institution Evaluation'!$A$56:$K$345,9,0)&amp;""</f>
        <v>Minor Importance</v>
      </c>
      <c r="J203" s="182" t="str">
        <f>VLOOKUP($A203,'Institution Evaluation'!$A$56:$K$345,10,0)&amp;""</f>
        <v/>
      </c>
      <c r="K203" s="48" t="str">
        <f>IF(VLOOKUP($A203,'Institution Evaluation'!$A$56:$K$345,10,0)=TRUE,'Auto Responses'!$J$3,"")</f>
        <v/>
      </c>
    </row>
    <row r="204" spans="1:11" ht="409.5" x14ac:dyDescent="0.3">
      <c r="A204" s="19" t="s">
        <v>131</v>
      </c>
      <c r="B204" s="18" t="str">
        <f>VLOOKUP($A204,Questions!$A$2:$X$333,2,0)</f>
        <v>Is security awareness training mandatory for all employees?</v>
      </c>
      <c r="C204" s="45" t="str">
        <f>VLOOKUP($A204,'Institution Evaluation'!$A$56:$K$345,3,0)&amp;""</f>
        <v>Yes</v>
      </c>
      <c r="D204" s="45" t="str">
        <f>VLOOKUP($A204,'Institution Evaluation'!$A$56:$K$345,4,0)&amp;""</f>
        <v>Yes. All Preservica staff, temporary staff, consultants and third parties in scope of Preservica's Security Awareness Training Policy must complete mandatory security awareness training during onboarding and at regular intervals not exceeding annually. Additional ad hoc training is provided following significant security incidents or threats, or material regulatory, policy or technology changes, and additional role-specific training is mandatory for privileged users and staff with access to customer data. Failure to complete mandatory training results in follow-up from Information Security, escalation to the individual's line manager, and, for persistent non-compliance, disciplinary action up to and including termination, with system access potentially suspended pending the outcome. Exceptions require approval by the CISO or a delegate and are recorded.</v>
      </c>
      <c r="E204" s="326" t="str">
        <f>VLOOKUP($A204,'Institution Evaluation'!$A$56:$K$345,5,0)&amp;""</f>
        <v>Summarize your security awareness training content and state how frequently employees are required to undergo security awareness training.</v>
      </c>
      <c r="F204" s="184" t="str">
        <f>VLOOKUP($A204,'Institution Evaluation'!$A$56:$K$345,6,0)&amp;""</f>
        <v/>
      </c>
      <c r="G204" s="30" t="str">
        <f>VLOOKUP($A204,'Institution Evaluation'!$A$56:$K$345,7,0)&amp;""</f>
        <v>Yes</v>
      </c>
      <c r="H204" s="181" t="str">
        <f>VLOOKUP($A204,'Institution Evaluation'!$A$56:$K$345,8,0)&amp;""</f>
        <v/>
      </c>
      <c r="I204" s="45" t="str">
        <f>VLOOKUP($A204,'Institution Evaluation'!$A$56:$K$345,9,0)&amp;""</f>
        <v>Minor Importance</v>
      </c>
      <c r="J204" s="182" t="str">
        <f>VLOOKUP($A204,'Institution Evaluation'!$A$56:$K$345,10,0)&amp;""</f>
        <v/>
      </c>
      <c r="K204" s="48" t="str">
        <f>IF(VLOOKUP($A204,'Institution Evaluation'!$A$56:$K$345,10,0)=TRUE,'Auto Responses'!$J$3,"")</f>
        <v/>
      </c>
    </row>
    <row r="205" spans="1:11" ht="409.5" x14ac:dyDescent="0.3">
      <c r="A205" s="19" t="s">
        <v>135</v>
      </c>
      <c r="B205" s="18" t="str">
        <f>VLOOKUP($A205,Questions!$A$2:$X$333,2,0)</f>
        <v>Do you have documented, and currently implemented, internal audit processes and procedures?</v>
      </c>
      <c r="C205" s="45" t="str">
        <f>VLOOKUP($A205,'Institution Evaluation'!$A$56:$K$345,3,0)&amp;""</f>
        <v>Yes</v>
      </c>
      <c r="D205" s="45" t="str">
        <f>VLOOKUP($A205,'Institution Evaluation'!$A$56:$K$345,4,0)&amp;""</f>
        <v>Yes. Preservica maintains a documented Internal Audit Procedure and operates an internal audit programme to a defined annual schedule covering its ISO/IEC 27001:2022 and ISO 9001:2015 certified management systems. Findings feed a broader assurance cycle: every policy and procedure has an assigned Owner and Approver and is reviewed at least annually, on material change to the environment, or in response to an incident; the Leadership Team conducts an annual Management Review; the Board provides oversight annually; and control design and operating effectiveness are independently verified through Preservica's external certifications and its annual SOC 2 Type II audit. Compliance with policy is further assured by mandatory reading and acknowledgement of core policies on hire and annually thereafter, with sanctions defined within each policy.</v>
      </c>
      <c r="E205" s="326" t="str">
        <f>VLOOKUP($A205,'Institution Evaluation'!$A$56:$K$345,5,0)&amp;""</f>
        <v>Summarize your internal audit processes and procedures.</v>
      </c>
      <c r="F205" s="184" t="str">
        <f>VLOOKUP($A205,'Institution Evaluation'!$A$56:$K$345,6,0)&amp;""</f>
        <v/>
      </c>
      <c r="G205" s="30" t="str">
        <f>VLOOKUP($A205,'Institution Evaluation'!$A$56:$K$345,7,0)&amp;""</f>
        <v>Yes</v>
      </c>
      <c r="H205" s="181" t="str">
        <f>VLOOKUP($A205,'Institution Evaluation'!$A$56:$K$345,8,0)&amp;""</f>
        <v/>
      </c>
      <c r="I205" s="45" t="str">
        <f>VLOOKUP($A205,'Institution Evaluation'!$A$56:$K$345,9,0)&amp;""</f>
        <v>Minor Importance</v>
      </c>
      <c r="J205" s="182" t="str">
        <f>VLOOKUP($A205,'Institution Evaluation'!$A$56:$K$345,10,0)&amp;""</f>
        <v/>
      </c>
      <c r="K205" s="48" t="str">
        <f>IF(VLOOKUP($A205,'Institution Evaluation'!$A$56:$K$345,10,0)=TRUE,'Auto Responses'!$J$3,"")</f>
        <v/>
      </c>
    </row>
    <row r="206" spans="1:11" ht="409.5" x14ac:dyDescent="0.3">
      <c r="A206" s="19" t="s">
        <v>137</v>
      </c>
      <c r="B206" s="18" t="str">
        <f>VLOOKUP($A206,Questions!$A$2:$X$333,2,0)</f>
        <v>Does your organization have physical security controls and policies in place?</v>
      </c>
      <c r="C206" s="45" t="str">
        <f>VLOOKUP($A206,'Institution Evaluation'!$A$56:$K$345,3,0)&amp;""</f>
        <v>Yes</v>
      </c>
      <c r="D206" s="45" t="str">
        <f>VLOOKUP($A206,'Institution Evaluation'!$A$56:$K$345,4,0)&amp;""</f>
        <v>Yes, at two levels. Data centres: institutional data is stored on cloud service provider infrastructure — Amazon Web Services or Microsoft Azure — and physical security of those facilities is the provider's responsibility, covered by their own independently audited certifications and attestations such as ISO 27001 and SOC 2, which Preservica reviews at least annually as part of its critical supplier review. Preservica does not operate its own data centres, and accepts responsibility for its sub-processors under its standard Terms and Conditions. Preservica's own offices: Preservica maintains a Physical and Environmental Security Policy and supporting procedure, with defined security perimeters protecting areas containing information and assets, controlled entry to premises and secure areas so that only authorised personnel gain access, and monitoring for unauthorised physical access. Access to secure areas is restricted to staff with a business need using key and fob controls, and visitors are escorted and supervised. Use of mobile storage media such as USB drives is not authorised. Physical and environmental security is within the scope of Preservica's ISO/IEC 27001:2022 certification.</v>
      </c>
      <c r="E206" s="326" t="str">
        <f>VLOOKUP($A206,'Institution Evaluation'!$A$56:$K$345,5,0)&amp;""</f>
        <v>Provide a copy of your physical security controls and policies along with this document (link or attached).</v>
      </c>
      <c r="F206" s="184" t="str">
        <f>VLOOKUP($A206,'Institution Evaluation'!$A$56:$K$345,6,0)&amp;""</f>
        <v/>
      </c>
      <c r="G206" s="30" t="str">
        <f>VLOOKUP($A206,'Institution Evaluation'!$A$56:$K$345,7,0)&amp;""</f>
        <v>Yes</v>
      </c>
      <c r="H206" s="181" t="str">
        <f>VLOOKUP($A206,'Institution Evaluation'!$A$56:$K$345,8,0)&amp;""</f>
        <v/>
      </c>
      <c r="I206" s="45" t="str">
        <f>VLOOKUP($A206,'Institution Evaluation'!$A$56:$K$345,9,0)&amp;""</f>
        <v>Minor Importance</v>
      </c>
      <c r="J206" s="182" t="str">
        <f>VLOOKUP($A206,'Institution Evaluation'!$A$56:$K$345,10,0)&amp;""</f>
        <v/>
      </c>
      <c r="K206" s="48" t="str">
        <f>IF(VLOOKUP($A206,'Institution Evaluation'!$A$56:$K$345,10,0)=TRUE,'Auto Responses'!$J$3,"")</f>
        <v/>
      </c>
    </row>
    <row r="207" spans="1:11" s="1" customFormat="1" ht="17.5" x14ac:dyDescent="0.25">
      <c r="A207" s="63" t="str">
        <f>VLOOKUP(LEFT($A208,4),'Auto Responses'!$N$4:$O$38,2,0)&amp;""</f>
        <v xml:space="preserve"> Incident Handling</v>
      </c>
      <c r="B207" s="22"/>
      <c r="C207" s="31"/>
      <c r="D207" s="31"/>
      <c r="E207" s="327"/>
      <c r="F207" s="129" t="s">
        <v>632</v>
      </c>
      <c r="G207" s="331" t="s">
        <v>627</v>
      </c>
      <c r="H207" s="331" t="s">
        <v>628</v>
      </c>
      <c r="I207" s="331" t="s">
        <v>629</v>
      </c>
      <c r="J207" s="331" t="s">
        <v>630</v>
      </c>
      <c r="K207" s="31"/>
    </row>
    <row r="208" spans="1:11" ht="409.5" x14ac:dyDescent="0.3">
      <c r="A208" s="19" t="s">
        <v>292</v>
      </c>
      <c r="B208" s="18" t="str">
        <f>VLOOKUP($A208,Questions!$A$2:$X$333,2,0)</f>
        <v>Do you have a formal incident response plan?</v>
      </c>
      <c r="C208" s="45" t="str">
        <f>VLOOKUP($A208,'Institution Evaluation'!$A$56:$K$345,3,0)&amp;""</f>
        <v>Yes</v>
      </c>
      <c r="D208" s="45" t="str">
        <f>VLOOKUP($A208,'Institution Evaluation'!$A$56:$K$345,4,0)&amp;""</f>
        <v>Yes. Preservica maintains a documented Incident Management Policy supported by a Cyber Incident Response Plan with scenario-specific playbooks and a Crisis Management Communications Plan governing internal and external communications, with hard copies held offline for resilience. The Chief Information Security Officer holds overall responsibility. Incidents are classified by severity with defined internal notification and escalation paths; where personal data has been, or is likely to have been, affected, Preservica's Data Protection Officer is engaged as part of that escalation path and advises on assessment, containment and notification. All incidents are documented with root-cause analysis and a lessons-learned review within seven days of recovery, with evidence retained for a minimum of three years, and findings from exercises and actual incidents are presented to the Leadership Team. A full response exercise is conducted at least annually. All employees, temporary staff and contractors are trained on incident identification and reporting at onboarding and annually thereafter. These controls fall within the scope of Preservica's ISO/IEC 27001:2022 certification and are independently tested within its annual SOC 2 Type II audit. Compliance documentation is available at https://preservica.com/trust-center.</v>
      </c>
      <c r="E208" s="326" t="str">
        <f>VLOOKUP($A208,'Institution Evaluation'!$A$56:$K$345,5,0)&amp;""</f>
        <v>Summarize or provide a link to your formal incident response plan.</v>
      </c>
      <c r="F208" s="184" t="str">
        <f>VLOOKUP($A208,'Institution Evaluation'!$A$56:$K$345,6,0)&amp;""</f>
        <v/>
      </c>
      <c r="G208" s="30" t="str">
        <f>VLOOKUP($A208,'Institution Evaluation'!$A$56:$K$345,7,0)&amp;""</f>
        <v>Yes</v>
      </c>
      <c r="H208" s="181" t="str">
        <f>VLOOKUP($A208,'Institution Evaluation'!$A$56:$K$345,8,0)&amp;""</f>
        <v/>
      </c>
      <c r="I208" s="45" t="str">
        <f>VLOOKUP($A208,'Institution Evaluation'!$A$56:$K$345,9,0)&amp;""</f>
        <v>Standard Importance</v>
      </c>
      <c r="J208" s="182" t="str">
        <f>VLOOKUP($A208,'Institution Evaluation'!$A$56:$K$345,10,0)&amp;""</f>
        <v/>
      </c>
      <c r="K208" s="48" t="str">
        <f>IF(VLOOKUP($A208,'Institution Evaluation'!$A$56:$K$345,10,0)=TRUE,'Auto Responses'!$J$3,"")</f>
        <v/>
      </c>
    </row>
    <row r="209" spans="1:11" ht="409.5" x14ac:dyDescent="0.3">
      <c r="A209" s="19" t="s">
        <v>294</v>
      </c>
      <c r="B209" s="18" t="str">
        <f>VLOOKUP($A209,Questions!$A$2:$X$333,2,0)</f>
        <v>Do you either have an internal incident response team or retain an external team?</v>
      </c>
      <c r="C209" s="45" t="str">
        <f>VLOOKUP($A209,'Institution Evaluation'!$A$56:$K$345,3,0)&amp;""</f>
        <v>Yes</v>
      </c>
      <c r="D209" s="45" t="str">
        <f>VLOOKUP($A209,'Institution Evaluation'!$A$56:$K$345,4,0)&amp;""</f>
        <v>Both. Preservica maintains an internal incident response capability led by the Chief Information Security Officer, with defined severity classification and internal notification and escalation paths, supplemented by retained external incident response support. Incidents are reported by any member of staff — all employees, temporary staff and contractors are trained on incident identification and reporting at onboarding and annually — triaged and classified by severity, managed under the Cyber Incident Response Plan and its scenario-specific playbooks, and communicated under the Crisis Management Communications Plan. Confirmed incidents affecting an institution's environment, and confirmed breaches affecting its data, are notified to that institution; notification timescales are as set out in the customer's agreement. Every incident is closed out with root-cause analysis and a lessons-learned review within seven days of recovery, with findings presented to the Leadership Team.</v>
      </c>
      <c r="E209" s="326" t="str">
        <f>VLOOKUP($A209,'Institution Evaluation'!$A$56:$K$345,5,0)&amp;""</f>
        <v>Summarize your incident response and reporting processes.</v>
      </c>
      <c r="F209" s="184" t="str">
        <f>VLOOKUP($A209,'Institution Evaluation'!$A$56:$K$345,6,0)&amp;""</f>
        <v/>
      </c>
      <c r="G209" s="30" t="str">
        <f>VLOOKUP($A209,'Institution Evaluation'!$A$56:$K$345,7,0)&amp;""</f>
        <v>Yes</v>
      </c>
      <c r="H209" s="181" t="str">
        <f>VLOOKUP($A209,'Institution Evaluation'!$A$56:$K$345,8,0)&amp;""</f>
        <v/>
      </c>
      <c r="I209" s="45" t="str">
        <f>VLOOKUP($A209,'Institution Evaluation'!$A$56:$K$345,9,0)&amp;""</f>
        <v>Minor Importance</v>
      </c>
      <c r="J209" s="182" t="str">
        <f>VLOOKUP($A209,'Institution Evaluation'!$A$56:$K$345,10,0)&amp;""</f>
        <v/>
      </c>
      <c r="K209" s="48" t="str">
        <f>IF(VLOOKUP($A209,'Institution Evaluation'!$A$56:$K$345,10,0)=TRUE,'Auto Responses'!$J$3,"")</f>
        <v/>
      </c>
    </row>
    <row r="210" spans="1:11" ht="409.5" x14ac:dyDescent="0.3">
      <c r="A210" s="19" t="s">
        <v>296</v>
      </c>
      <c r="B210" s="18" t="str">
        <f>VLOOKUP($A210,Questions!$A$2:$X$333,2,0)</f>
        <v>Do you have the capability to respond to incidents on a 24 x 7 x 365 basis?</v>
      </c>
      <c r="C210" s="45" t="str">
        <f>VLOOKUP($A210,'Institution Evaluation'!$A$56:$K$345,3,0)&amp;""</f>
        <v>Yes</v>
      </c>
      <c r="D210" s="45" t="str">
        <f>VLOOKUP($A210,'Institution Evaluation'!$A$56:$K$345,4,0)&amp;""</f>
        <v>Yes. Preservica has engaged a Managed Security Services Partner providing security operations centre and SIEM services on a 24x7x365 basis, and that partner can support incidents at any severity. An established runbook ensures that detections are escalated to the appropriate Preservica personnel for response, under the ownership of the Chief Information Security Officer and in line with the Cyber Incident Response Plan and its scenario-specific playbooks. Preservica also retains access to specialist external incident response support. These arrangements are described in Preservica's SOC 2 Type II report, which is available to customers on request.</v>
      </c>
      <c r="E210" s="326" t="str">
        <f>VLOOKUP($A210,'Institution Evaluation'!$A$56:$K$345,5,0)&amp;""</f>
        <v>Summarize your internal approach or reference your third-party contractor.</v>
      </c>
      <c r="F210" s="184" t="str">
        <f>VLOOKUP($A210,'Institution Evaluation'!$A$56:$K$345,6,0)&amp;""</f>
        <v/>
      </c>
      <c r="G210" s="30" t="str">
        <f>VLOOKUP($A210,'Institution Evaluation'!$A$56:$K$345,7,0)&amp;""</f>
        <v>Yes</v>
      </c>
      <c r="H210" s="181" t="str">
        <f>VLOOKUP($A210,'Institution Evaluation'!$A$56:$K$345,8,0)&amp;""</f>
        <v/>
      </c>
      <c r="I210" s="45" t="str">
        <f>VLOOKUP($A210,'Institution Evaluation'!$A$56:$K$345,9,0)&amp;""</f>
        <v>Minor Importance</v>
      </c>
      <c r="J210" s="182" t="str">
        <f>VLOOKUP($A210,'Institution Evaluation'!$A$56:$K$345,10,0)&amp;""</f>
        <v/>
      </c>
      <c r="K210" s="48" t="str">
        <f>IF(VLOOKUP($A210,'Institution Evaluation'!$A$56:$K$345,10,0)=TRUE,'Auto Responses'!$J$3,"")</f>
        <v/>
      </c>
    </row>
    <row r="211" spans="1:11" ht="195" x14ac:dyDescent="0.3">
      <c r="A211" s="19" t="s">
        <v>298</v>
      </c>
      <c r="B211" s="18" t="str">
        <f>VLOOKUP($A211,Questions!$A$2:$X$333,2,0)</f>
        <v>Do you carry cyber-risk insurance to protect against unforeseen service outages, data that is lost or stolen, and security incidents?</v>
      </c>
      <c r="C211" s="45" t="str">
        <f>VLOOKUP($A211,'Institution Evaluation'!$A$56:$K$345,3,0)&amp;""</f>
        <v>Yes</v>
      </c>
      <c r="D211" s="45" t="str">
        <f>VLOOKUP($A211,'Institution Evaluation'!$A$56:$K$345,4,0)&amp;""</f>
        <v>Yes. Preservica maintains cyber insurance, which includes access to specialist incident response support. Coverage terms, and any remedies available to the institution, are as set out in the institution's signed agreement with Preservica.</v>
      </c>
      <c r="E211" s="326" t="str">
        <f>VLOOKUP($A211,'Institution Evaluation'!$A$56:$K$345,5,0)&amp;""</f>
        <v>Describe the coverage in place for this solution.</v>
      </c>
      <c r="F211" s="184" t="str">
        <f>VLOOKUP($A211,'Institution Evaluation'!$A$56:$K$345,6,0)&amp;""</f>
        <v/>
      </c>
      <c r="G211" s="30" t="str">
        <f>VLOOKUP($A211,'Institution Evaluation'!$A$56:$K$345,7,0)&amp;""</f>
        <v>Yes</v>
      </c>
      <c r="H211" s="181" t="str">
        <f>VLOOKUP($A211,'Institution Evaluation'!$A$56:$K$345,8,0)&amp;""</f>
        <v/>
      </c>
      <c r="I211" s="45" t="str">
        <f>VLOOKUP($A211,'Institution Evaluation'!$A$56:$K$345,9,0)&amp;""</f>
        <v>Minor Importance</v>
      </c>
      <c r="J211" s="182" t="str">
        <f>VLOOKUP($A211,'Institution Evaluation'!$A$56:$K$345,10,0)&amp;""</f>
        <v/>
      </c>
      <c r="K211" s="48" t="str">
        <f>IF(VLOOKUP($A211,'Institution Evaluation'!$A$56:$K$345,10,0)=TRUE,'Auto Responses'!$J$3,"")</f>
        <v/>
      </c>
    </row>
    <row r="212" spans="1:11" s="1" customFormat="1" ht="17.5" x14ac:dyDescent="0.25">
      <c r="A212" s="63" t="str">
        <f>VLOOKUP(LEFT($A213,4),'Auto Responses'!$N$4:$O$38,2,0)&amp;""</f>
        <v xml:space="preserve"> Vulnerability Management</v>
      </c>
      <c r="B212" s="22"/>
      <c r="C212" s="31"/>
      <c r="D212" s="31"/>
      <c r="E212" s="327"/>
      <c r="F212" s="129" t="s">
        <v>632</v>
      </c>
      <c r="G212" s="331" t="s">
        <v>627</v>
      </c>
      <c r="H212" s="331" t="s">
        <v>628</v>
      </c>
      <c r="I212" s="331" t="s">
        <v>629</v>
      </c>
      <c r="J212" s="331" t="s">
        <v>630</v>
      </c>
      <c r="K212" s="31"/>
    </row>
    <row r="213" spans="1:11" ht="409.5" x14ac:dyDescent="0.3">
      <c r="A213" s="19" t="s">
        <v>300</v>
      </c>
      <c r="B213" s="18" t="str">
        <f>VLOOKUP($A213,Questions!$A$2:$X$333,2,0)</f>
        <v>Are your systems and applications scanned with an authenticated user account for vulnerabilities (that are remediated) prior to new releases?*</v>
      </c>
      <c r="C213" s="45" t="str">
        <f>VLOOKUP($A213,'Institution Evaluation'!$A$56:$K$345,3,0)&amp;""</f>
        <v>Yes</v>
      </c>
      <c r="D213" s="45" t="str">
        <f>VLOOKUP($A213,'Institution Evaluation'!$A$56:$K$345,4,0)&amp;""</f>
        <v>Static Application Security Testing, including dependency analysis, is integrated into developer IDEs and enforced at every pull request; no source code change is accepted into the main branch without both a second-person review and a static analysis review for vulnerabilities, licensing issues and hard-coded secrets. Dynamic Application Security Testing is performed as a release gate against every release candidate, and vulnerability scans are performed as an authenticated user. Infrastructure vulnerability scanning runs continuously and is reviewed at least monthly. Identified vulnerabilities are assessed and remediated in line with the risk they pose, as determined by Preservica's Information Security team, taking into account the vendor's own rating including any CVSS score, the applicability and configuration of the affected component within Preservica's environment, and any existing compensating controls.</v>
      </c>
      <c r="E213" s="326" t="str">
        <f>VLOOKUP($A213,'Institution Evaluation'!$A$56:$K$345,5,0)&amp;""</f>
        <v>Provide a brief description.</v>
      </c>
      <c r="F213" s="184" t="str">
        <f>VLOOKUP($A213,'Institution Evaluation'!$A$56:$K$345,6,0)&amp;""</f>
        <v/>
      </c>
      <c r="G213" s="30" t="str">
        <f>VLOOKUP($A213,'Institution Evaluation'!$A$56:$K$345,7,0)&amp;""</f>
        <v>Yes</v>
      </c>
      <c r="H213" s="181" t="str">
        <f>VLOOKUP($A213,'Institution Evaluation'!$A$56:$K$345,8,0)&amp;""</f>
        <v/>
      </c>
      <c r="I213" s="45" t="str">
        <f>VLOOKUP($A213,'Institution Evaluation'!$A$56:$K$345,9,0)&amp;""</f>
        <v>Critical Importance</v>
      </c>
      <c r="J213" s="182" t="str">
        <f>VLOOKUP($A213,'Institution Evaluation'!$A$56:$K$345,10,0)&amp;""</f>
        <v/>
      </c>
      <c r="K213" s="48" t="str">
        <f>IF(VLOOKUP($A213,'Institution Evaluation'!$A$56:$K$345,10,0)=TRUE,'Auto Responses'!$J$3,"")</f>
        <v/>
      </c>
    </row>
    <row r="214" spans="1:11" ht="409.5" x14ac:dyDescent="0.3">
      <c r="A214" s="19" t="s">
        <v>301</v>
      </c>
      <c r="B214" s="18" t="str">
        <f>VLOOKUP($A214,Questions!$A$2:$X$333,2,0)</f>
        <v>Will you provide results of application and system vulnerability scans to the institution?*</v>
      </c>
      <c r="C214" s="45" t="str">
        <f>VLOOKUP($A214,'Institution Evaluation'!$A$56:$K$345,3,0)&amp;""</f>
        <v>Yes</v>
      </c>
      <c r="D214" s="45" t="str">
        <f>VLOOKUP($A214,'Institution Evaluation'!$A$56:$K$345,4,0)&amp;""</f>
        <v>Preservica provides the summary report of its independent annual penetration test, conducted by a CREST-certified third party across application, API and infrastructure layers, together with a cover letter from Preservica's Chief Information Security Officer summarising the current status of findings. Existing customers may request this directly; prospective customers will be asked to sign a non-disclosure agreement first. Requests should be sent to Information.Security@preservica.com. Preservica's SOC 2 Type II report, covering an audit period running from October to September each year, is also available to customers on request, and certification documentation is published at https://preservica.com/trust-center. Raw output from internal scanning tooling is not released.</v>
      </c>
      <c r="E214" s="326" t="str">
        <f>VLOOKUP($A214,'Institution Evaluation'!$A$56:$K$345,5,0)&amp;""</f>
        <v>Provide a reference to security scan documentation.</v>
      </c>
      <c r="F214" s="184" t="str">
        <f>VLOOKUP($A214,'Institution Evaluation'!$A$56:$K$345,6,0)&amp;""</f>
        <v/>
      </c>
      <c r="G214" s="30" t="str">
        <f>VLOOKUP($A214,'Institution Evaluation'!$A$56:$K$345,7,0)&amp;""</f>
        <v>Yes</v>
      </c>
      <c r="H214" s="181" t="str">
        <f>VLOOKUP($A214,'Institution Evaluation'!$A$56:$K$345,8,0)&amp;""</f>
        <v/>
      </c>
      <c r="I214" s="45" t="str">
        <f>VLOOKUP($A214,'Institution Evaluation'!$A$56:$K$345,9,0)&amp;""</f>
        <v>Critical Importance</v>
      </c>
      <c r="J214" s="182" t="str">
        <f>VLOOKUP($A214,'Institution Evaluation'!$A$56:$K$345,10,0)&amp;""</f>
        <v/>
      </c>
      <c r="K214" s="48" t="str">
        <f>IF(VLOOKUP($A214,'Institution Evaluation'!$A$56:$K$345,10,0)=TRUE,'Auto Responses'!$J$3,"")</f>
        <v/>
      </c>
    </row>
    <row r="215" spans="1:11" ht="409.5" x14ac:dyDescent="0.3">
      <c r="A215" s="19" t="s">
        <v>305</v>
      </c>
      <c r="B215" s="18" t="str">
        <f>VLOOKUP($A215,Questions!$A$2:$X$333,2,0)</f>
        <v>Have your systems and applications had a third-party security assessment completed in the last year?</v>
      </c>
      <c r="C215" s="45" t="str">
        <f>VLOOKUP($A215,'Institution Evaluation'!$A$56:$K$345,3,0)&amp;""</f>
        <v>Yes</v>
      </c>
      <c r="D215" s="45" t="str">
        <f>VLOOKUP($A215,'Institution Evaluation'!$A$56:$K$345,4,0)&amp;""</f>
        <v>Preservica commissions an independent penetration test at least annually, conducted by a CREST-certified third-party firm and covering the application, API and infrastructure layers. Preservica also undergoes an annual SOC 2 Type II audit by an independent auditor, with a report period running from October to September each year, and is independently certified to ISO/IEC 27001:2022 and ISO 9001:2015, with Cyber Essentials and Cyber Essentials Plus certification and TX-RAMP and AZRAMP certifications. The penetration test summary report is available on request together with a cover letter from Preservica's Chief Information Security Officer summarising the current status of findings; existing customers may request it directly, and prospective customers will be asked to sign a non-disclosure agreement first. Requests should be sent to Information.Security@preservica.com. Certification documentation is published at https://preservica.com/trust-center.</v>
      </c>
      <c r="E215" s="326" t="str">
        <f>VLOOKUP($A215,'Institution Evaluation'!$A$56:$K$345,5,0)&amp;""</f>
        <v>Provide the results with this document (link or attached), if possible. State the date of the last completed third-party security assessment.</v>
      </c>
      <c r="F215" s="184" t="str">
        <f>VLOOKUP($A215,'Institution Evaluation'!$A$56:$K$345,6,0)&amp;""</f>
        <v/>
      </c>
      <c r="G215" s="30" t="str">
        <f>VLOOKUP($A215,'Institution Evaluation'!$A$56:$K$345,7,0)&amp;""</f>
        <v>Yes</v>
      </c>
      <c r="H215" s="181" t="str">
        <f>VLOOKUP($A215,'Institution Evaluation'!$A$56:$K$345,8,0)&amp;""</f>
        <v/>
      </c>
      <c r="I215" s="45" t="str">
        <f>VLOOKUP($A215,'Institution Evaluation'!$A$56:$K$345,9,0)&amp;""</f>
        <v>Standard Importance</v>
      </c>
      <c r="J215" s="182" t="str">
        <f>VLOOKUP($A215,'Institution Evaluation'!$A$56:$K$345,10,0)&amp;""</f>
        <v/>
      </c>
      <c r="K215" s="48" t="str">
        <f>IF(VLOOKUP($A215,'Institution Evaluation'!$A$56:$K$345,10,0)=TRUE,'Auto Responses'!$J$3,"")</f>
        <v/>
      </c>
    </row>
    <row r="216" spans="1:11" ht="409.5" x14ac:dyDescent="0.3">
      <c r="A216" s="19" t="s">
        <v>308</v>
      </c>
      <c r="B216" s="18" t="str">
        <f>VLOOKUP($A216,Questions!$A$2:$X$333,2,0)</f>
        <v>Are your systems and applications regularly scanned externally for vulnerabilities?</v>
      </c>
      <c r="C216" s="45" t="str">
        <f>VLOOKUP($A216,'Institution Evaluation'!$A$56:$K$345,3,0)&amp;""</f>
        <v>Yes</v>
      </c>
      <c r="D216" s="45" t="str">
        <f>VLOOKUP($A216,'Institution Evaluation'!$A$56:$K$345,4,0)&amp;""</f>
        <v>Dynamic Application Security Testing is performed externally against every release candidate as a release gate, so all released versions are covered. Infrastructure vulnerability scanning runs continuously across the platform and is reviewed at least monthly; for cloud infrastructure, scanning is conducted against a representative sample of environments, since the use of Infrastructure as Code provides an acceptable level of certainty that environments are identically configured. In addition, an independent manual penetration test is conducted at least annually by a CREST-certified third-party firm covering application, API and infrastructure layers. The penetration test summary report is available on request with a cover letter from Preservica's Chief Information Security Officer; existing customers may request it directly and prospective customers will be asked to sign a non-disclosure agreement first. Requests should be sent to Information.Security@preservica.com. Preservica also subscribes to threat intelligence and vulnerability feeds and draws on software vendors, trusted third parties, open-source intelligence, customer feedback and information security communities as part of its threat management capability.</v>
      </c>
      <c r="E216" s="326" t="str">
        <f>VLOOKUP($A216,'Institution Evaluation'!$A$56:$K$345,5,0)&amp;""</f>
        <v>Describe your external application vulnerability scanning strategy.</v>
      </c>
      <c r="F216" s="184" t="str">
        <f>VLOOKUP($A216,'Institution Evaluation'!$A$56:$K$345,6,0)&amp;""</f>
        <v/>
      </c>
      <c r="G216" s="30" t="str">
        <f>VLOOKUP($A216,'Institution Evaluation'!$A$56:$K$345,7,0)&amp;""</f>
        <v>Yes</v>
      </c>
      <c r="H216" s="181" t="str">
        <f>VLOOKUP($A216,'Institution Evaluation'!$A$56:$K$345,8,0)&amp;""</f>
        <v/>
      </c>
      <c r="I216" s="45" t="str">
        <f>VLOOKUP($A216,'Institution Evaluation'!$A$56:$K$345,9,0)&amp;""</f>
        <v>Minor Importance</v>
      </c>
      <c r="J216" s="182" t="str">
        <f>VLOOKUP($A216,'Institution Evaluation'!$A$56:$K$345,10,0)&amp;""</f>
        <v/>
      </c>
      <c r="K216" s="48" t="str">
        <f>IF(VLOOKUP($A216,'Institution Evaluation'!$A$56:$K$345,10,0)=TRUE,'Auto Responses'!$J$3,"")</f>
        <v/>
      </c>
    </row>
    <row r="217" spans="1:11" s="1" customFormat="1" ht="17.5" x14ac:dyDescent="0.25">
      <c r="A217" s="63" t="str">
        <f>VLOOKUP(LEFT($A218,4),'Auto Responses'!$N$4:$O$38,2,0)&amp;""</f>
        <v xml:space="preserve">HIPAA Compliance </v>
      </c>
      <c r="B217" s="22"/>
      <c r="C217" s="31"/>
      <c r="D217" s="31"/>
      <c r="E217" s="327"/>
      <c r="F217" s="129" t="s">
        <v>632</v>
      </c>
      <c r="G217" s="331" t="s">
        <v>627</v>
      </c>
      <c r="H217" s="331" t="s">
        <v>628</v>
      </c>
      <c r="I217" s="331" t="s">
        <v>629</v>
      </c>
      <c r="J217" s="331" t="s">
        <v>630</v>
      </c>
      <c r="K217" s="31"/>
    </row>
    <row r="218" spans="1:11" ht="75" x14ac:dyDescent="0.3">
      <c r="A218" s="19" t="s">
        <v>356</v>
      </c>
      <c r="B218" s="18" t="str">
        <f>VLOOKUP($A218,Questions!$A$2:$X$333,2,0)</f>
        <v>Do your workforce members receive regular training related to the Health Insurance Portability and Accountability Act (HIPAA) Privacy and Security Rules and the HITECH Act?*</v>
      </c>
      <c r="C218" s="45" t="str">
        <f>VLOOKUP($A218,'Institution Evaluation'!$A$56:$K$345,3,0)&amp;""</f>
        <v/>
      </c>
      <c r="D218" s="45" t="str">
        <f>VLOOKUP($A218,'Institution Evaluation'!$A$56:$K$345,4,0)&amp;""</f>
        <v>This question does not apply.</v>
      </c>
      <c r="E218" s="326" t="str">
        <f>VLOOKUP($A218,'Institution Evaluation'!$A$56:$K$345,5,0)&amp;""</f>
        <v>Based on the response to REQU-05 on the "START HERE" tab, this question does not apply to this product or service.</v>
      </c>
      <c r="F218" s="184" t="str">
        <f>VLOOKUP($A218,'Institution Evaluation'!$A$56:$K$345,6,0)&amp;""</f>
        <v/>
      </c>
      <c r="G218" s="30" t="str">
        <f>VLOOKUP($A218,'Institution Evaluation'!$A$56:$K$345,7,0)&amp;""</f>
        <v>Yes</v>
      </c>
      <c r="H218" s="181" t="str">
        <f>VLOOKUP($A218,'Institution Evaluation'!$A$56:$K$345,8,0)&amp;""</f>
        <v/>
      </c>
      <c r="I218" s="45" t="str">
        <f>VLOOKUP($A218,'Institution Evaluation'!$A$56:$K$345,9,0)&amp;""</f>
        <v>Critical Importance</v>
      </c>
      <c r="J218" s="182" t="str">
        <f>VLOOKUP($A218,'Institution Evaluation'!$A$56:$K$345,10,0)&amp;""</f>
        <v/>
      </c>
      <c r="K218" s="48" t="str">
        <f>IF(VLOOKUP($A218,'Institution Evaluation'!$A$56:$K$345,10,0)=TRUE,'Auto Responses'!$J$3,"")</f>
        <v/>
      </c>
    </row>
    <row r="219" spans="1:11" ht="75" x14ac:dyDescent="0.3">
      <c r="A219" s="19" t="s">
        <v>357</v>
      </c>
      <c r="B219" s="18" t="str">
        <f>VLOOKUP($A219,Questions!$A$2:$X$333,2,0)</f>
        <v>Have you identified areas of risk?*</v>
      </c>
      <c r="C219" s="45" t="str">
        <f>VLOOKUP($A219,'Institution Evaluation'!$A$56:$K$345,3,0)&amp;""</f>
        <v/>
      </c>
      <c r="D219" s="45" t="str">
        <f>VLOOKUP($A219,'Institution Evaluation'!$A$56:$K$345,4,0)&amp;""</f>
        <v>This question does not apply.</v>
      </c>
      <c r="E219" s="326" t="str">
        <f>VLOOKUP($A219,'Institution Evaluation'!$A$56:$K$345,5,0)&amp;""</f>
        <v>Based on the response to REQU-05 on the "START HERE" tab, this question does not apply to this product or service.</v>
      </c>
      <c r="F219" s="184" t="str">
        <f>VLOOKUP($A219,'Institution Evaluation'!$A$56:$K$345,6,0)&amp;""</f>
        <v/>
      </c>
      <c r="G219" s="30" t="str">
        <f>VLOOKUP($A219,'Institution Evaluation'!$A$56:$K$345,7,0)&amp;""</f>
        <v>Yes</v>
      </c>
      <c r="H219" s="181" t="str">
        <f>VLOOKUP($A219,'Institution Evaluation'!$A$56:$K$345,8,0)&amp;""</f>
        <v/>
      </c>
      <c r="I219" s="45" t="str">
        <f>VLOOKUP($A219,'Institution Evaluation'!$A$56:$K$345,9,0)&amp;""</f>
        <v>Critical Importance</v>
      </c>
      <c r="J219" s="182" t="str">
        <f>VLOOKUP($A219,'Institution Evaluation'!$A$56:$K$345,10,0)&amp;""</f>
        <v/>
      </c>
      <c r="K219" s="48" t="str">
        <f>IF(VLOOKUP($A219,'Institution Evaluation'!$A$56:$K$345,10,0)=TRUE,'Auto Responses'!$J$3,"")</f>
        <v/>
      </c>
    </row>
    <row r="220" spans="1:11" ht="75" x14ac:dyDescent="0.3">
      <c r="A220" s="19" t="s">
        <v>358</v>
      </c>
      <c r="B220" s="18" t="str">
        <f>VLOOKUP($A220,Questions!$A$2:$X$333,2,0)</f>
        <v>Have the relevant policies/plans been tested?*</v>
      </c>
      <c r="C220" s="45" t="str">
        <f>VLOOKUP($A220,'Institution Evaluation'!$A$56:$K$345,3,0)&amp;""</f>
        <v/>
      </c>
      <c r="D220" s="45" t="str">
        <f>VLOOKUP($A220,'Institution Evaluation'!$A$56:$K$345,4,0)&amp;""</f>
        <v>This question does not apply.</v>
      </c>
      <c r="E220" s="326" t="str">
        <f>VLOOKUP($A220,'Institution Evaluation'!$A$56:$K$345,5,0)&amp;""</f>
        <v>Based on the response to REQU-05 on the "START HERE" tab, this question does not apply to this product or service.</v>
      </c>
      <c r="F220" s="184" t="str">
        <f>VLOOKUP($A220,'Institution Evaluation'!$A$56:$K$345,6,0)&amp;""</f>
        <v/>
      </c>
      <c r="G220" s="30" t="str">
        <f>VLOOKUP($A220,'Institution Evaluation'!$A$56:$K$345,7,0)&amp;""</f>
        <v>Yes</v>
      </c>
      <c r="H220" s="181" t="str">
        <f>VLOOKUP($A220,'Institution Evaluation'!$A$56:$K$345,8,0)&amp;""</f>
        <v/>
      </c>
      <c r="I220" s="45" t="str">
        <f>VLOOKUP($A220,'Institution Evaluation'!$A$56:$K$345,9,0)&amp;""</f>
        <v>Critical Importance</v>
      </c>
      <c r="J220" s="182" t="str">
        <f>VLOOKUP($A220,'Institution Evaluation'!$A$56:$K$345,10,0)&amp;""</f>
        <v/>
      </c>
      <c r="K220" s="48" t="str">
        <f>IF(VLOOKUP($A220,'Institution Evaluation'!$A$56:$K$345,10,0)=TRUE,'Auto Responses'!$J$3,"")</f>
        <v/>
      </c>
    </row>
    <row r="221" spans="1:11" ht="75" x14ac:dyDescent="0.3">
      <c r="A221" s="19" t="s">
        <v>359</v>
      </c>
      <c r="B221" s="18" t="str">
        <f>VLOOKUP($A221,Questions!$A$2:$X$333,2,0)</f>
        <v>Have you entered into a Business Associate Agreements with all subcontractors who may have access to protected health information (PHI)?*</v>
      </c>
      <c r="C221" s="45" t="str">
        <f>VLOOKUP($A221,'Institution Evaluation'!$A$56:$K$345,3,0)&amp;""</f>
        <v/>
      </c>
      <c r="D221" s="45" t="str">
        <f>VLOOKUP($A221,'Institution Evaluation'!$A$56:$K$345,4,0)&amp;""</f>
        <v>This question does not apply.</v>
      </c>
      <c r="E221" s="326" t="str">
        <f>VLOOKUP($A221,'Institution Evaluation'!$A$56:$K$345,5,0)&amp;""</f>
        <v>Based on the response to REQU-05 on the "START HERE" tab, this question does not apply to this product or service.</v>
      </c>
      <c r="F221" s="184" t="str">
        <f>VLOOKUP($A221,'Institution Evaluation'!$A$56:$K$345,6,0)&amp;""</f>
        <v/>
      </c>
      <c r="G221" s="30" t="str">
        <f>VLOOKUP($A221,'Institution Evaluation'!$A$56:$K$345,7,0)&amp;""</f>
        <v>Yes</v>
      </c>
      <c r="H221" s="181" t="str">
        <f>VLOOKUP($A221,'Institution Evaluation'!$A$56:$K$345,8,0)&amp;""</f>
        <v/>
      </c>
      <c r="I221" s="45" t="str">
        <f>VLOOKUP($A221,'Institution Evaluation'!$A$56:$K$345,9,0)&amp;""</f>
        <v>Critical Importance</v>
      </c>
      <c r="J221" s="182" t="str">
        <f>VLOOKUP($A221,'Institution Evaluation'!$A$56:$K$345,10,0)&amp;""</f>
        <v/>
      </c>
      <c r="K221" s="48" t="str">
        <f>IF(VLOOKUP($A221,'Institution Evaluation'!$A$56:$K$345,10,0)=TRUE,'Auto Responses'!$J$3,"")</f>
        <v/>
      </c>
    </row>
    <row r="222" spans="1:11" ht="75" x14ac:dyDescent="0.3">
      <c r="A222" s="19" t="s">
        <v>360</v>
      </c>
      <c r="B222" s="18" t="str">
        <f>VLOOKUP($A222,Questions!$A$2:$X$333,2,0)</f>
        <v>Do you monitor or receive information regarding changes in HIPAA regulations?</v>
      </c>
      <c r="C222" s="45" t="str">
        <f>VLOOKUP($A222,'Institution Evaluation'!$A$56:$K$345,3,0)&amp;""</f>
        <v/>
      </c>
      <c r="D222" s="45" t="str">
        <f>VLOOKUP($A222,'Institution Evaluation'!$A$56:$K$345,4,0)&amp;""</f>
        <v>This question does not apply.</v>
      </c>
      <c r="E222" s="326" t="str">
        <f>VLOOKUP($A222,'Institution Evaluation'!$A$56:$K$345,5,0)&amp;""</f>
        <v>Based on the response to REQU-05 on the "START HERE" tab, this question does not apply to this product or service.</v>
      </c>
      <c r="F222" s="184" t="str">
        <f>VLOOKUP($A222,'Institution Evaluation'!$A$56:$K$345,6,0)&amp;""</f>
        <v/>
      </c>
      <c r="G222" s="30" t="str">
        <f>VLOOKUP($A222,'Institution Evaluation'!$A$56:$K$345,7,0)&amp;""</f>
        <v>Yes</v>
      </c>
      <c r="H222" s="181" t="str">
        <f>VLOOKUP($A222,'Institution Evaluation'!$A$56:$K$345,8,0)&amp;""</f>
        <v/>
      </c>
      <c r="I222" s="45" t="str">
        <f>VLOOKUP($A222,'Institution Evaluation'!$A$56:$K$345,9,0)&amp;""</f>
        <v>Standard Importance</v>
      </c>
      <c r="J222" s="182" t="str">
        <f>VLOOKUP($A222,'Institution Evaluation'!$A$56:$K$345,10,0)&amp;""</f>
        <v/>
      </c>
      <c r="K222" s="48" t="str">
        <f>IF(VLOOKUP($A222,'Institution Evaluation'!$A$56:$K$345,10,0)=TRUE,'Auto Responses'!$J$3,"")</f>
        <v/>
      </c>
    </row>
    <row r="223" spans="1:11" ht="75" x14ac:dyDescent="0.3">
      <c r="A223" s="19" t="s">
        <v>361</v>
      </c>
      <c r="B223" s="18" t="str">
        <f>VLOOKUP($A223,Questions!$A$2:$X$333,2,0)</f>
        <v>Has your organization designated HIPAA Privacy and Security officers as required by the rules?</v>
      </c>
      <c r="C223" s="45" t="str">
        <f>VLOOKUP($A223,'Institution Evaluation'!$A$56:$K$345,3,0)&amp;""</f>
        <v/>
      </c>
      <c r="D223" s="45" t="str">
        <f>VLOOKUP($A223,'Institution Evaluation'!$A$56:$K$345,4,0)&amp;""</f>
        <v>This question does not apply.</v>
      </c>
      <c r="E223" s="326" t="str">
        <f>VLOOKUP($A223,'Institution Evaluation'!$A$56:$K$345,5,0)&amp;""</f>
        <v>Based on the response to REQU-05 on the "START HERE" tab, this question does not apply to this product or service.</v>
      </c>
      <c r="F223" s="184" t="str">
        <f>VLOOKUP($A223,'Institution Evaluation'!$A$56:$K$345,6,0)&amp;""</f>
        <v/>
      </c>
      <c r="G223" s="30" t="str">
        <f>VLOOKUP($A223,'Institution Evaluation'!$A$56:$K$345,7,0)&amp;""</f>
        <v>Yes</v>
      </c>
      <c r="H223" s="181" t="str">
        <f>VLOOKUP($A223,'Institution Evaluation'!$A$56:$K$345,8,0)&amp;""</f>
        <v/>
      </c>
      <c r="I223" s="45" t="str">
        <f>VLOOKUP($A223,'Institution Evaluation'!$A$56:$K$345,9,0)&amp;""</f>
        <v>Standard Importance</v>
      </c>
      <c r="J223" s="182" t="str">
        <f>VLOOKUP($A223,'Institution Evaluation'!$A$56:$K$345,10,0)&amp;""</f>
        <v/>
      </c>
      <c r="K223" s="48" t="str">
        <f>IF(VLOOKUP($A223,'Institution Evaluation'!$A$56:$K$345,10,0)=TRUE,'Auto Responses'!$J$3,"")</f>
        <v/>
      </c>
    </row>
    <row r="224" spans="1:11" ht="75" x14ac:dyDescent="0.3">
      <c r="A224" s="19" t="s">
        <v>362</v>
      </c>
      <c r="B224" s="18" t="str">
        <f>VLOOKUP($A224,Questions!$A$2:$X$333,2,0)</f>
        <v>Do you comply with the requirements of the Health Information Technology for Economic and Clinical Health Act (HITECH)?</v>
      </c>
      <c r="C224" s="45" t="str">
        <f>VLOOKUP($A224,'Institution Evaluation'!$A$56:$K$345,3,0)&amp;""</f>
        <v/>
      </c>
      <c r="D224" s="45" t="str">
        <f>VLOOKUP($A224,'Institution Evaluation'!$A$56:$K$345,4,0)&amp;""</f>
        <v>This question does not apply.</v>
      </c>
      <c r="E224" s="326" t="str">
        <f>VLOOKUP($A224,'Institution Evaluation'!$A$56:$K$345,5,0)&amp;""</f>
        <v>Based on the response to REQU-05 on the "START HERE" tab, this question does not apply to this product or service.</v>
      </c>
      <c r="F224" s="184" t="str">
        <f>VLOOKUP($A224,'Institution Evaluation'!$A$56:$K$345,6,0)&amp;""</f>
        <v/>
      </c>
      <c r="G224" s="30" t="str">
        <f>VLOOKUP($A224,'Institution Evaluation'!$A$56:$K$345,7,0)&amp;""</f>
        <v>Yes</v>
      </c>
      <c r="H224" s="181" t="str">
        <f>VLOOKUP($A224,'Institution Evaluation'!$A$56:$K$345,8,0)&amp;""</f>
        <v/>
      </c>
      <c r="I224" s="45" t="str">
        <f>VLOOKUP($A224,'Institution Evaluation'!$A$56:$K$345,9,0)&amp;""</f>
        <v>Standard Importance</v>
      </c>
      <c r="J224" s="182" t="str">
        <f>VLOOKUP($A224,'Institution Evaluation'!$A$56:$K$345,10,0)&amp;""</f>
        <v/>
      </c>
      <c r="K224" s="48" t="str">
        <f>IF(VLOOKUP($A224,'Institution Evaluation'!$A$56:$K$345,10,0)=TRUE,'Auto Responses'!$J$3,"")</f>
        <v/>
      </c>
    </row>
    <row r="225" spans="1:11" ht="75" x14ac:dyDescent="0.3">
      <c r="A225" s="19" t="s">
        <v>363</v>
      </c>
      <c r="B225" s="18" t="str">
        <f>VLOOKUP($A225,Questions!$A$2:$X$333,2,0)</f>
        <v>Have you conducted a risk analysis as required under the HIPAA Security Rule?</v>
      </c>
      <c r="C225" s="45" t="str">
        <f>VLOOKUP($A225,'Institution Evaluation'!$A$56:$K$345,3,0)&amp;""</f>
        <v/>
      </c>
      <c r="D225" s="45" t="str">
        <f>VLOOKUP($A225,'Institution Evaluation'!$A$56:$K$345,4,0)&amp;""</f>
        <v>This question does not apply.</v>
      </c>
      <c r="E225" s="326" t="str">
        <f>VLOOKUP($A225,'Institution Evaluation'!$A$56:$K$345,5,0)&amp;""</f>
        <v>Based on the response to REQU-05 on the "START HERE" tab, this question does not apply to this product or service.</v>
      </c>
      <c r="F225" s="184" t="str">
        <f>VLOOKUP($A225,'Institution Evaluation'!$A$56:$K$345,6,0)&amp;""</f>
        <v/>
      </c>
      <c r="G225" s="30" t="str">
        <f>VLOOKUP($A225,'Institution Evaluation'!$A$56:$K$345,7,0)&amp;""</f>
        <v>Yes</v>
      </c>
      <c r="H225" s="181" t="str">
        <f>VLOOKUP($A225,'Institution Evaluation'!$A$56:$K$345,8,0)&amp;""</f>
        <v/>
      </c>
      <c r="I225" s="45" t="str">
        <f>VLOOKUP($A225,'Institution Evaluation'!$A$56:$K$345,9,0)&amp;""</f>
        <v>Standard Importance</v>
      </c>
      <c r="J225" s="182" t="str">
        <f>VLOOKUP($A225,'Institution Evaluation'!$A$56:$K$345,10,0)&amp;""</f>
        <v/>
      </c>
      <c r="K225" s="48" t="str">
        <f>IF(VLOOKUP($A225,'Institution Evaluation'!$A$56:$K$345,10,0)=TRUE,'Auto Responses'!$J$3,"")</f>
        <v/>
      </c>
    </row>
    <row r="226" spans="1:11" ht="75" x14ac:dyDescent="0.3">
      <c r="A226" s="19" t="s">
        <v>364</v>
      </c>
      <c r="B226" s="18" t="str">
        <f>VLOOKUP($A226,Questions!$A$2:$X$333,2,0)</f>
        <v>Have you taken actions to mitigate the identified risks?</v>
      </c>
      <c r="C226" s="45" t="str">
        <f>VLOOKUP($A226,'Institution Evaluation'!$A$56:$K$345,3,0)&amp;""</f>
        <v/>
      </c>
      <c r="D226" s="45" t="str">
        <f>VLOOKUP($A226,'Institution Evaluation'!$A$56:$K$345,4,0)&amp;""</f>
        <v>This question does not apply.</v>
      </c>
      <c r="E226" s="326" t="str">
        <f>VLOOKUP($A226,'Institution Evaluation'!$A$56:$K$345,5,0)&amp;""</f>
        <v>Based on the response to REQU-05 on the "START HERE" tab, this question does not apply to this product or service.</v>
      </c>
      <c r="F226" s="184" t="str">
        <f>VLOOKUP($A226,'Institution Evaluation'!$A$56:$K$345,6,0)&amp;""</f>
        <v/>
      </c>
      <c r="G226" s="30" t="str">
        <f>VLOOKUP($A226,'Institution Evaluation'!$A$56:$K$345,7,0)&amp;""</f>
        <v>Yes</v>
      </c>
      <c r="H226" s="181" t="str">
        <f>VLOOKUP($A226,'Institution Evaluation'!$A$56:$K$345,8,0)&amp;""</f>
        <v/>
      </c>
      <c r="I226" s="45" t="str">
        <f>VLOOKUP($A226,'Institution Evaluation'!$A$56:$K$345,9,0)&amp;""</f>
        <v>Standard Importance</v>
      </c>
      <c r="J226" s="182" t="str">
        <f>VLOOKUP($A226,'Institution Evaluation'!$A$56:$K$345,10,0)&amp;""</f>
        <v/>
      </c>
      <c r="K226" s="48" t="str">
        <f>IF(VLOOKUP($A226,'Institution Evaluation'!$A$56:$K$345,10,0)=TRUE,'Auto Responses'!$J$3,"")</f>
        <v/>
      </c>
    </row>
    <row r="227" spans="1:11" ht="75" x14ac:dyDescent="0.3">
      <c r="A227" s="19" t="s">
        <v>365</v>
      </c>
      <c r="B227" s="18" t="str">
        <f>VLOOKUP($A227,Questions!$A$2:$X$333,2,0)</f>
        <v>Does your application require user and system administrator password changes at a frequency no greater than 90 days?</v>
      </c>
      <c r="C227" s="45" t="str">
        <f>VLOOKUP($A227,'Institution Evaluation'!$A$56:$K$345,3,0)&amp;""</f>
        <v/>
      </c>
      <c r="D227" s="45" t="str">
        <f>VLOOKUP($A227,'Institution Evaluation'!$A$56:$K$345,4,0)&amp;""</f>
        <v>This question does not apply.</v>
      </c>
      <c r="E227" s="326" t="str">
        <f>VLOOKUP($A227,'Institution Evaluation'!$A$56:$K$345,5,0)&amp;""</f>
        <v>Based on the response to REQU-05 on the "START HERE" tab, this question does not apply to this product or service.</v>
      </c>
      <c r="F227" s="184" t="str">
        <f>VLOOKUP($A227,'Institution Evaluation'!$A$56:$K$345,6,0)&amp;""</f>
        <v/>
      </c>
      <c r="G227" s="30" t="str">
        <f>VLOOKUP($A227,'Institution Evaluation'!$A$56:$K$345,7,0)&amp;""</f>
        <v>Yes</v>
      </c>
      <c r="H227" s="181" t="str">
        <f>VLOOKUP($A227,'Institution Evaluation'!$A$56:$K$345,8,0)&amp;""</f>
        <v/>
      </c>
      <c r="I227" s="45" t="str">
        <f>VLOOKUP($A227,'Institution Evaluation'!$A$56:$K$345,9,0)&amp;""</f>
        <v>Standard Importance</v>
      </c>
      <c r="J227" s="182" t="str">
        <f>VLOOKUP($A227,'Institution Evaluation'!$A$56:$K$345,10,0)&amp;""</f>
        <v/>
      </c>
      <c r="K227" s="48" t="str">
        <f>IF(VLOOKUP($A227,'Institution Evaluation'!$A$56:$K$345,10,0)=TRUE,'Auto Responses'!$J$3,"")</f>
        <v/>
      </c>
    </row>
    <row r="228" spans="1:11" ht="75" x14ac:dyDescent="0.3">
      <c r="A228" s="19" t="s">
        <v>366</v>
      </c>
      <c r="B228" s="18" t="str">
        <f>VLOOKUP($A228,Questions!$A$2:$X$333,2,0)</f>
        <v>Does your application require users to set their own password after an administrator reset or on first use of the account?</v>
      </c>
      <c r="C228" s="45" t="str">
        <f>VLOOKUP($A228,'Institution Evaluation'!$A$56:$K$345,3,0)&amp;""</f>
        <v/>
      </c>
      <c r="D228" s="45" t="str">
        <f>VLOOKUP($A228,'Institution Evaluation'!$A$56:$K$345,4,0)&amp;""</f>
        <v>This question does not apply.</v>
      </c>
      <c r="E228" s="326" t="str">
        <f>VLOOKUP($A228,'Institution Evaluation'!$A$56:$K$345,5,0)&amp;""</f>
        <v>Based on the response to REQU-05 on the "START HERE" tab, this question does not apply to this product or service.</v>
      </c>
      <c r="F228" s="184" t="str">
        <f>VLOOKUP($A228,'Institution Evaluation'!$A$56:$K$345,6,0)&amp;""</f>
        <v/>
      </c>
      <c r="G228" s="30" t="str">
        <f>VLOOKUP($A228,'Institution Evaluation'!$A$56:$K$345,7,0)&amp;""</f>
        <v>Yes</v>
      </c>
      <c r="H228" s="181" t="str">
        <f>VLOOKUP($A228,'Institution Evaluation'!$A$56:$K$345,8,0)&amp;""</f>
        <v/>
      </c>
      <c r="I228" s="45" t="str">
        <f>VLOOKUP($A228,'Institution Evaluation'!$A$56:$K$345,9,0)&amp;""</f>
        <v>Standard Importance</v>
      </c>
      <c r="J228" s="182" t="str">
        <f>VLOOKUP($A228,'Institution Evaluation'!$A$56:$K$345,10,0)&amp;""</f>
        <v/>
      </c>
      <c r="K228" s="48" t="str">
        <f>IF(VLOOKUP($A228,'Institution Evaluation'!$A$56:$K$345,10,0)=TRUE,'Auto Responses'!$J$3,"")</f>
        <v/>
      </c>
    </row>
    <row r="229" spans="1:11" ht="75" x14ac:dyDescent="0.3">
      <c r="A229" s="19" t="s">
        <v>367</v>
      </c>
      <c r="B229" s="18" t="str">
        <f>VLOOKUP($A229,Questions!$A$2:$X$333,2,0)</f>
        <v>Does your application lock out an account after a number of failed login attempts?</v>
      </c>
      <c r="C229" s="45" t="str">
        <f>VLOOKUP($A229,'Institution Evaluation'!$A$56:$K$345,3,0)&amp;""</f>
        <v/>
      </c>
      <c r="D229" s="45" t="str">
        <f>VLOOKUP($A229,'Institution Evaluation'!$A$56:$K$345,4,0)&amp;""</f>
        <v>This question does not apply.</v>
      </c>
      <c r="E229" s="326" t="str">
        <f>VLOOKUP($A229,'Institution Evaluation'!$A$56:$K$345,5,0)&amp;""</f>
        <v>Based on the response to REQU-05 on the "START HERE" tab, this question does not apply to this product or service.</v>
      </c>
      <c r="F229" s="184" t="str">
        <f>VLOOKUP($A229,'Institution Evaluation'!$A$56:$K$345,6,0)&amp;""</f>
        <v/>
      </c>
      <c r="G229" s="30" t="str">
        <f>VLOOKUP($A229,'Institution Evaluation'!$A$56:$K$345,7,0)&amp;""</f>
        <v>Yes</v>
      </c>
      <c r="H229" s="181" t="str">
        <f>VLOOKUP($A229,'Institution Evaluation'!$A$56:$K$345,8,0)&amp;""</f>
        <v/>
      </c>
      <c r="I229" s="45" t="str">
        <f>VLOOKUP($A229,'Institution Evaluation'!$A$56:$K$345,9,0)&amp;""</f>
        <v>Standard Importance</v>
      </c>
      <c r="J229" s="182" t="str">
        <f>VLOOKUP($A229,'Institution Evaluation'!$A$56:$K$345,10,0)&amp;""</f>
        <v/>
      </c>
      <c r="K229" s="48" t="str">
        <f>IF(VLOOKUP($A229,'Institution Evaluation'!$A$56:$K$345,10,0)=TRUE,'Auto Responses'!$J$3,"")</f>
        <v/>
      </c>
    </row>
    <row r="230" spans="1:11" ht="75" x14ac:dyDescent="0.3">
      <c r="A230" s="19" t="s">
        <v>368</v>
      </c>
      <c r="B230" s="18" t="str">
        <f>VLOOKUP($A230,Questions!$A$2:$X$333,2,0)</f>
        <v>Does your application automatically lock or log-out an account after a period of inactivity?</v>
      </c>
      <c r="C230" s="45" t="str">
        <f>VLOOKUP($A230,'Institution Evaluation'!$A$56:$K$345,3,0)&amp;""</f>
        <v/>
      </c>
      <c r="D230" s="45" t="str">
        <f>VLOOKUP($A230,'Institution Evaluation'!$A$56:$K$345,4,0)&amp;""</f>
        <v>This question does not apply.</v>
      </c>
      <c r="E230" s="326" t="str">
        <f>VLOOKUP($A230,'Institution Evaluation'!$A$56:$K$345,5,0)&amp;""</f>
        <v>Based on the response to REQU-05 on the "START HERE" tab, this question does not apply to this product or service.</v>
      </c>
      <c r="F230" s="184" t="str">
        <f>VLOOKUP($A230,'Institution Evaluation'!$A$56:$K$345,6,0)&amp;""</f>
        <v/>
      </c>
      <c r="G230" s="30" t="str">
        <f>VLOOKUP($A230,'Institution Evaluation'!$A$56:$K$345,7,0)&amp;""</f>
        <v>Yes</v>
      </c>
      <c r="H230" s="181" t="str">
        <f>VLOOKUP($A230,'Institution Evaluation'!$A$56:$K$345,8,0)&amp;""</f>
        <v/>
      </c>
      <c r="I230" s="45" t="str">
        <f>VLOOKUP($A230,'Institution Evaluation'!$A$56:$K$345,9,0)&amp;""</f>
        <v>Standard Importance</v>
      </c>
      <c r="J230" s="182" t="str">
        <f>VLOOKUP($A230,'Institution Evaluation'!$A$56:$K$345,10,0)&amp;""</f>
        <v/>
      </c>
      <c r="K230" s="48" t="str">
        <f>IF(VLOOKUP($A230,'Institution Evaluation'!$A$56:$K$345,10,0)=TRUE,'Auto Responses'!$J$3,"")</f>
        <v/>
      </c>
    </row>
    <row r="231" spans="1:11" ht="75" x14ac:dyDescent="0.3">
      <c r="A231" s="19" t="s">
        <v>369</v>
      </c>
      <c r="B231" s="18" t="str">
        <f>VLOOKUP($A231,Questions!$A$2:$X$333,2,0)</f>
        <v>Are passwords visible in plain text, whether when stored or entered, including service level accounts (i.e., database accounts, etc.)?</v>
      </c>
      <c r="C231" s="45" t="str">
        <f>VLOOKUP($A231,'Institution Evaluation'!$A$56:$K$345,3,0)&amp;""</f>
        <v/>
      </c>
      <c r="D231" s="45" t="str">
        <f>VLOOKUP($A231,'Institution Evaluation'!$A$56:$K$345,4,0)&amp;""</f>
        <v>This question does not apply.</v>
      </c>
      <c r="E231" s="326" t="str">
        <f>VLOOKUP($A231,'Institution Evaluation'!$A$56:$K$345,5,0)&amp;""</f>
        <v>Based on the response to REQU-05 on the "START HERE" tab, this question does not apply to this product or service.</v>
      </c>
      <c r="F231" s="184" t="str">
        <f>VLOOKUP($A231,'Institution Evaluation'!$A$56:$K$345,6,0)&amp;""</f>
        <v/>
      </c>
      <c r="G231" s="30" t="str">
        <f>VLOOKUP($A231,'Institution Evaluation'!$A$56:$K$345,7,0)&amp;""</f>
        <v>No</v>
      </c>
      <c r="H231" s="181" t="str">
        <f>VLOOKUP($A231,'Institution Evaluation'!$A$56:$K$345,8,0)&amp;""</f>
        <v/>
      </c>
      <c r="I231" s="45" t="str">
        <f>VLOOKUP($A231,'Institution Evaluation'!$A$56:$K$345,9,0)&amp;""</f>
        <v>Standard Importance</v>
      </c>
      <c r="J231" s="182" t="str">
        <f>VLOOKUP($A231,'Institution Evaluation'!$A$56:$K$345,10,0)&amp;""</f>
        <v/>
      </c>
      <c r="K231" s="48" t="str">
        <f>IF(VLOOKUP($A231,'Institution Evaluation'!$A$56:$K$345,10,0)=TRUE,'Auto Responses'!$J$3,"")</f>
        <v/>
      </c>
    </row>
    <row r="232" spans="1:11" ht="75" x14ac:dyDescent="0.3">
      <c r="A232" s="19" t="s">
        <v>370</v>
      </c>
      <c r="B232" s="18" t="str">
        <f>VLOOKUP($A232,Questions!$A$2:$X$333,2,0)</f>
        <v>If the application is institution-hosted, can all service level and administrative account passwords be changed by the institution?</v>
      </c>
      <c r="C232" s="45" t="str">
        <f>VLOOKUP($A232,'Institution Evaluation'!$A$56:$K$345,3,0)&amp;""</f>
        <v/>
      </c>
      <c r="D232" s="45" t="str">
        <f>VLOOKUP($A232,'Institution Evaluation'!$A$56:$K$345,4,0)&amp;""</f>
        <v>This question does not apply.</v>
      </c>
      <c r="E232" s="326" t="str">
        <f>VLOOKUP($A232,'Institution Evaluation'!$A$56:$K$345,5,0)&amp;""</f>
        <v>Based on the response to REQU-05 on the "START HERE" tab, this question does not apply to this product or service.</v>
      </c>
      <c r="F232" s="184" t="str">
        <f>VLOOKUP($A232,'Institution Evaluation'!$A$56:$K$345,6,0)&amp;""</f>
        <v/>
      </c>
      <c r="G232" s="30" t="str">
        <f>VLOOKUP($A232,'Institution Evaluation'!$A$56:$K$345,7,0)&amp;""</f>
        <v>Yes</v>
      </c>
      <c r="H232" s="181" t="str">
        <f>VLOOKUP($A232,'Institution Evaluation'!$A$56:$K$345,8,0)&amp;""</f>
        <v/>
      </c>
      <c r="I232" s="45" t="str">
        <f>VLOOKUP($A232,'Institution Evaluation'!$A$56:$K$345,9,0)&amp;""</f>
        <v>Standard Importance</v>
      </c>
      <c r="J232" s="182" t="str">
        <f>VLOOKUP($A232,'Institution Evaluation'!$A$56:$K$345,10,0)&amp;""</f>
        <v/>
      </c>
      <c r="K232" s="48" t="str">
        <f>IF(VLOOKUP($A232,'Institution Evaluation'!$A$56:$K$345,10,0)=TRUE,'Auto Responses'!$J$3,"")</f>
        <v/>
      </c>
    </row>
    <row r="233" spans="1:11" ht="75" x14ac:dyDescent="0.3">
      <c r="A233" s="19" t="s">
        <v>371</v>
      </c>
      <c r="B233" s="18" t="str">
        <f>VLOOKUP($A233,Questions!$A$2:$X$333,2,0)</f>
        <v>Does your application provide the ability to define user access levels?</v>
      </c>
      <c r="C233" s="45" t="str">
        <f>VLOOKUP($A233,'Institution Evaluation'!$A$56:$K$345,3,0)&amp;""</f>
        <v/>
      </c>
      <c r="D233" s="45" t="str">
        <f>VLOOKUP($A233,'Institution Evaluation'!$A$56:$K$345,4,0)&amp;""</f>
        <v>This question does not apply.</v>
      </c>
      <c r="E233" s="326" t="str">
        <f>VLOOKUP($A233,'Institution Evaluation'!$A$56:$K$345,5,0)&amp;""</f>
        <v>Based on the response to REQU-05 on the "START HERE" tab, this question does not apply to this product or service.</v>
      </c>
      <c r="F233" s="184" t="str">
        <f>VLOOKUP($A233,'Institution Evaluation'!$A$56:$K$345,6,0)&amp;""</f>
        <v/>
      </c>
      <c r="G233" s="30" t="str">
        <f>VLOOKUP($A233,'Institution Evaluation'!$A$56:$K$345,7,0)&amp;""</f>
        <v>Yes</v>
      </c>
      <c r="H233" s="181" t="str">
        <f>VLOOKUP($A233,'Institution Evaluation'!$A$56:$K$345,8,0)&amp;""</f>
        <v/>
      </c>
      <c r="I233" s="45" t="str">
        <f>VLOOKUP($A233,'Institution Evaluation'!$A$56:$K$345,9,0)&amp;""</f>
        <v>Standard Importance</v>
      </c>
      <c r="J233" s="182" t="str">
        <f>VLOOKUP($A233,'Institution Evaluation'!$A$56:$K$345,10,0)&amp;""</f>
        <v/>
      </c>
      <c r="K233" s="48" t="str">
        <f>IF(VLOOKUP($A233,'Institution Evaluation'!$A$56:$K$345,10,0)=TRUE,'Auto Responses'!$J$3,"")</f>
        <v/>
      </c>
    </row>
    <row r="234" spans="1:11" ht="75" x14ac:dyDescent="0.3">
      <c r="A234" s="19" t="s">
        <v>372</v>
      </c>
      <c r="B234" s="18" t="str">
        <f>VLOOKUP($A234,Questions!$A$2:$X$333,2,0)</f>
        <v>Does your application support varying levels of access to administrative tasks defined individually per user?</v>
      </c>
      <c r="C234" s="45" t="str">
        <f>VLOOKUP($A234,'Institution Evaluation'!$A$56:$K$345,3,0)&amp;""</f>
        <v/>
      </c>
      <c r="D234" s="45" t="str">
        <f>VLOOKUP($A234,'Institution Evaluation'!$A$56:$K$345,4,0)&amp;""</f>
        <v>This question does not apply.</v>
      </c>
      <c r="E234" s="326" t="str">
        <f>VLOOKUP($A234,'Institution Evaluation'!$A$56:$K$345,5,0)&amp;""</f>
        <v>Based on the response to REQU-05 on the "START HERE" tab, this question does not apply to this product or service.</v>
      </c>
      <c r="F234" s="184" t="str">
        <f>VLOOKUP($A234,'Institution Evaluation'!$A$56:$K$345,6,0)&amp;""</f>
        <v/>
      </c>
      <c r="G234" s="30" t="str">
        <f>VLOOKUP($A234,'Institution Evaluation'!$A$56:$K$345,7,0)&amp;""</f>
        <v>Yes</v>
      </c>
      <c r="H234" s="181" t="str">
        <f>VLOOKUP($A234,'Institution Evaluation'!$A$56:$K$345,8,0)&amp;""</f>
        <v/>
      </c>
      <c r="I234" s="45" t="str">
        <f>VLOOKUP($A234,'Institution Evaluation'!$A$56:$K$345,9,0)&amp;""</f>
        <v>Standard Importance</v>
      </c>
      <c r="J234" s="182" t="str">
        <f>VLOOKUP($A234,'Institution Evaluation'!$A$56:$K$345,10,0)&amp;""</f>
        <v/>
      </c>
      <c r="K234" s="48" t="str">
        <f>IF(VLOOKUP($A234,'Institution Evaluation'!$A$56:$K$345,10,0)=TRUE,'Auto Responses'!$J$3,"")</f>
        <v/>
      </c>
    </row>
    <row r="235" spans="1:11" ht="75" x14ac:dyDescent="0.3">
      <c r="A235" s="19" t="s">
        <v>373</v>
      </c>
      <c r="B235" s="18" t="str">
        <f>VLOOKUP($A235,Questions!$A$2:$X$333,2,0)</f>
        <v>Does your application support varying levels of access to records based on user ID?</v>
      </c>
      <c r="C235" s="45" t="str">
        <f>VLOOKUP($A235,'Institution Evaluation'!$A$56:$K$345,3,0)&amp;""</f>
        <v/>
      </c>
      <c r="D235" s="45" t="str">
        <f>VLOOKUP($A235,'Institution Evaluation'!$A$56:$K$345,4,0)&amp;""</f>
        <v>This question does not apply.</v>
      </c>
      <c r="E235" s="326" t="str">
        <f>VLOOKUP($A235,'Institution Evaluation'!$A$56:$K$345,5,0)&amp;""</f>
        <v>Based on the response to REQU-05 on the "START HERE" tab, this question does not apply to this product or service.</v>
      </c>
      <c r="F235" s="184" t="str">
        <f>VLOOKUP($A235,'Institution Evaluation'!$A$56:$K$345,6,0)&amp;""</f>
        <v/>
      </c>
      <c r="G235" s="30" t="str">
        <f>VLOOKUP($A235,'Institution Evaluation'!$A$56:$K$345,7,0)&amp;""</f>
        <v>No</v>
      </c>
      <c r="H235" s="181" t="str">
        <f>VLOOKUP($A235,'Institution Evaluation'!$A$56:$K$345,8,0)&amp;""</f>
        <v/>
      </c>
      <c r="I235" s="45" t="str">
        <f>VLOOKUP($A235,'Institution Evaluation'!$A$56:$K$345,9,0)&amp;""</f>
        <v>Standard Importance</v>
      </c>
      <c r="J235" s="182" t="str">
        <f>VLOOKUP($A235,'Institution Evaluation'!$A$56:$K$345,10,0)&amp;""</f>
        <v/>
      </c>
      <c r="K235" s="48" t="str">
        <f>IF(VLOOKUP($A235,'Institution Evaluation'!$A$56:$K$345,10,0)=TRUE,'Auto Responses'!$J$3,"")</f>
        <v/>
      </c>
    </row>
    <row r="236" spans="1:11" ht="75" x14ac:dyDescent="0.3">
      <c r="A236" s="19" t="s">
        <v>374</v>
      </c>
      <c r="B236" s="18" t="str">
        <f>VLOOKUP($A236,Questions!$A$2:$X$333,2,0)</f>
        <v>Is there a limit to the number of groups to which a user can be assigned?</v>
      </c>
      <c r="C236" s="45" t="str">
        <f>VLOOKUP($A236,'Institution Evaluation'!$A$56:$K$345,3,0)&amp;""</f>
        <v/>
      </c>
      <c r="D236" s="45" t="str">
        <f>VLOOKUP($A236,'Institution Evaluation'!$A$56:$K$345,4,0)&amp;""</f>
        <v>This question does not apply.</v>
      </c>
      <c r="E236" s="326" t="str">
        <f>VLOOKUP($A236,'Institution Evaluation'!$A$56:$K$345,5,0)&amp;""</f>
        <v>Based on the response to REQU-05 on the "START HERE" tab, this question does not apply to this product or service.</v>
      </c>
      <c r="F236" s="184" t="str">
        <f>VLOOKUP($A236,'Institution Evaluation'!$A$56:$K$345,6,0)&amp;""</f>
        <v/>
      </c>
      <c r="G236" s="30" t="str">
        <f>VLOOKUP($A236,'Institution Evaluation'!$A$56:$K$345,7,0)&amp;""</f>
        <v>Yes</v>
      </c>
      <c r="H236" s="181" t="str">
        <f>VLOOKUP($A236,'Institution Evaluation'!$A$56:$K$345,8,0)&amp;""</f>
        <v/>
      </c>
      <c r="I236" s="45" t="str">
        <f>VLOOKUP($A236,'Institution Evaluation'!$A$56:$K$345,9,0)&amp;""</f>
        <v>Standard Importance</v>
      </c>
      <c r="J236" s="182" t="str">
        <f>VLOOKUP($A236,'Institution Evaluation'!$A$56:$K$345,10,0)&amp;""</f>
        <v/>
      </c>
      <c r="K236" s="48" t="str">
        <f>IF(VLOOKUP($A236,'Institution Evaluation'!$A$56:$K$345,10,0)=TRUE,'Auto Responses'!$J$3,"")</f>
        <v/>
      </c>
    </row>
    <row r="237" spans="1:11" ht="75" x14ac:dyDescent="0.3">
      <c r="A237" s="19" t="s">
        <v>375</v>
      </c>
      <c r="B237" s="18" t="str">
        <f>VLOOKUP($A237,Questions!$A$2:$X$333,2,0)</f>
        <v>Do accounts used for solution provider-supplied remote support abide by the same authentication policies and access logging as the rest of the system?</v>
      </c>
      <c r="C237" s="45" t="str">
        <f>VLOOKUP($A237,'Institution Evaluation'!$A$56:$K$345,3,0)&amp;""</f>
        <v/>
      </c>
      <c r="D237" s="45" t="str">
        <f>VLOOKUP($A237,'Institution Evaluation'!$A$56:$K$345,4,0)&amp;""</f>
        <v>This question does not apply.</v>
      </c>
      <c r="E237" s="326" t="str">
        <f>VLOOKUP($A237,'Institution Evaluation'!$A$56:$K$345,5,0)&amp;""</f>
        <v>Based on the response to REQU-05 on the "START HERE" tab, this question does not apply to this product or service.</v>
      </c>
      <c r="F237" s="184" t="str">
        <f>VLOOKUP($A237,'Institution Evaluation'!$A$56:$K$345,6,0)&amp;""</f>
        <v/>
      </c>
      <c r="G237" s="30" t="str">
        <f>VLOOKUP($A237,'Institution Evaluation'!$A$56:$K$345,7,0)&amp;""</f>
        <v>Yes</v>
      </c>
      <c r="H237" s="181" t="str">
        <f>VLOOKUP($A237,'Institution Evaluation'!$A$56:$K$345,8,0)&amp;""</f>
        <v/>
      </c>
      <c r="I237" s="45" t="str">
        <f>VLOOKUP($A237,'Institution Evaluation'!$A$56:$K$345,9,0)&amp;""</f>
        <v>Standard Importance</v>
      </c>
      <c r="J237" s="182" t="str">
        <f>VLOOKUP($A237,'Institution Evaluation'!$A$56:$K$345,10,0)&amp;""</f>
        <v/>
      </c>
      <c r="K237" s="48" t="str">
        <f>IF(VLOOKUP($A237,'Institution Evaluation'!$A$56:$K$345,10,0)=TRUE,'Auto Responses'!$J$3,"")</f>
        <v/>
      </c>
    </row>
    <row r="238" spans="1:11" ht="75" x14ac:dyDescent="0.3">
      <c r="A238" s="19" t="s">
        <v>376</v>
      </c>
      <c r="B238" s="18" t="str">
        <f>VLOOKUP($A238,Questions!$A$2:$X$333,2,0)</f>
        <v>Does the application log record access including specific user, date/time of access, and originating IP or device?</v>
      </c>
      <c r="C238" s="45" t="str">
        <f>VLOOKUP($A238,'Institution Evaluation'!$A$56:$K$345,3,0)&amp;""</f>
        <v/>
      </c>
      <c r="D238" s="45" t="str">
        <f>VLOOKUP($A238,'Institution Evaluation'!$A$56:$K$345,4,0)&amp;""</f>
        <v>This question does not apply.</v>
      </c>
      <c r="E238" s="326" t="str">
        <f>VLOOKUP($A238,'Institution Evaluation'!$A$56:$K$345,5,0)&amp;""</f>
        <v>Based on the response to REQU-05 on the "START HERE" tab, this question does not apply to this product or service.</v>
      </c>
      <c r="F238" s="184" t="str">
        <f>VLOOKUP($A238,'Institution Evaluation'!$A$56:$K$345,6,0)&amp;""</f>
        <v/>
      </c>
      <c r="G238" s="30" t="str">
        <f>VLOOKUP($A238,'Institution Evaluation'!$A$56:$K$345,7,0)&amp;""</f>
        <v>Yes</v>
      </c>
      <c r="H238" s="181" t="str">
        <f>VLOOKUP($A238,'Institution Evaluation'!$A$56:$K$345,8,0)&amp;""</f>
        <v/>
      </c>
      <c r="I238" s="45" t="str">
        <f>VLOOKUP($A238,'Institution Evaluation'!$A$56:$K$345,9,0)&amp;""</f>
        <v>Standard Importance</v>
      </c>
      <c r="J238" s="182" t="str">
        <f>VLOOKUP($A238,'Institution Evaluation'!$A$56:$K$345,10,0)&amp;""</f>
        <v/>
      </c>
      <c r="K238" s="48" t="str">
        <f>IF(VLOOKUP($A238,'Institution Evaluation'!$A$56:$K$345,10,0)=TRUE,'Auto Responses'!$J$3,"")</f>
        <v/>
      </c>
    </row>
    <row r="239" spans="1:11" ht="75" x14ac:dyDescent="0.3">
      <c r="A239" s="19" t="s">
        <v>377</v>
      </c>
      <c r="B239" s="18" t="str">
        <f>VLOOKUP($A239,Questions!$A$2:$X$333,2,0)</f>
        <v>Does the application log administrative activity, such as user account access changes and password changes, including specific user, date/time of changes, and originating IP or device?</v>
      </c>
      <c r="C239" s="45" t="str">
        <f>VLOOKUP($A239,'Institution Evaluation'!$A$56:$K$345,3,0)&amp;""</f>
        <v/>
      </c>
      <c r="D239" s="45" t="str">
        <f>VLOOKUP($A239,'Institution Evaluation'!$A$56:$K$345,4,0)&amp;""</f>
        <v>This question does not apply.</v>
      </c>
      <c r="E239" s="326" t="str">
        <f>VLOOKUP($A239,'Institution Evaluation'!$A$56:$K$345,5,0)&amp;""</f>
        <v>Based on the response to REQU-05 on the "START HERE" tab, this question does not apply to this product or service.</v>
      </c>
      <c r="F239" s="184" t="str">
        <f>VLOOKUP($A239,'Institution Evaluation'!$A$56:$K$345,6,0)&amp;""</f>
        <v/>
      </c>
      <c r="G239" s="30" t="str">
        <f>VLOOKUP($A239,'Institution Evaluation'!$A$56:$K$345,7,0)&amp;""</f>
        <v>Yes</v>
      </c>
      <c r="H239" s="181" t="str">
        <f>VLOOKUP($A239,'Institution Evaluation'!$A$56:$K$345,8,0)&amp;""</f>
        <v/>
      </c>
      <c r="I239" s="45" t="str">
        <f>VLOOKUP($A239,'Institution Evaluation'!$A$56:$K$345,9,0)&amp;""</f>
        <v>Standard Importance</v>
      </c>
      <c r="J239" s="182" t="str">
        <f>VLOOKUP($A239,'Institution Evaluation'!$A$56:$K$345,10,0)&amp;""</f>
        <v/>
      </c>
      <c r="K239" s="48" t="str">
        <f>IF(VLOOKUP($A239,'Institution Evaluation'!$A$56:$K$345,10,0)=TRUE,'Auto Responses'!$J$3,"")</f>
        <v/>
      </c>
    </row>
    <row r="240" spans="1:11" ht="75" x14ac:dyDescent="0.3">
      <c r="A240" s="19" t="s">
        <v>378</v>
      </c>
      <c r="B240" s="18" t="str">
        <f>VLOOKUP($A240,Questions!$A$2:$X$333,2,0)</f>
        <v>Do you retain logs for at least as long as required by HIPAA regulations?</v>
      </c>
      <c r="C240" s="45" t="str">
        <f>VLOOKUP($A240,'Institution Evaluation'!$A$56:$K$345,3,0)&amp;""</f>
        <v/>
      </c>
      <c r="D240" s="45" t="str">
        <f>VLOOKUP($A240,'Institution Evaluation'!$A$56:$K$345,4,0)&amp;""</f>
        <v>This question does not apply.</v>
      </c>
      <c r="E240" s="326" t="str">
        <f>VLOOKUP($A240,'Institution Evaluation'!$A$56:$K$345,5,0)&amp;""</f>
        <v>Based on the response to REQU-05 on the "START HERE" tab, this question does not apply to this product or service.</v>
      </c>
      <c r="F240" s="184" t="str">
        <f>VLOOKUP($A240,'Institution Evaluation'!$A$56:$K$345,6,0)&amp;""</f>
        <v/>
      </c>
      <c r="G240" s="30" t="str">
        <f>VLOOKUP($A240,'Institution Evaluation'!$A$56:$K$345,7,0)&amp;""</f>
        <v>Yes</v>
      </c>
      <c r="H240" s="181" t="str">
        <f>VLOOKUP($A240,'Institution Evaluation'!$A$56:$K$345,8,0)&amp;""</f>
        <v/>
      </c>
      <c r="I240" s="45" t="str">
        <f>VLOOKUP($A240,'Institution Evaluation'!$A$56:$K$345,9,0)&amp;""</f>
        <v>Standard Importance</v>
      </c>
      <c r="J240" s="182" t="str">
        <f>VLOOKUP($A240,'Institution Evaluation'!$A$56:$K$345,10,0)&amp;""</f>
        <v/>
      </c>
      <c r="K240" s="48" t="str">
        <f>IF(VLOOKUP($A240,'Institution Evaluation'!$A$56:$K$345,10,0)=TRUE,'Auto Responses'!$J$3,"")</f>
        <v/>
      </c>
    </row>
    <row r="241" spans="1:14" ht="75" x14ac:dyDescent="0.3">
      <c r="A241" s="19" t="s">
        <v>379</v>
      </c>
      <c r="B241" s="18" t="str">
        <f>VLOOKUP($A241,Questions!$A$2:$X$333,2,0)</f>
        <v>Can the application logs be archived?</v>
      </c>
      <c r="C241" s="45" t="str">
        <f>VLOOKUP($A241,'Institution Evaluation'!$A$56:$K$345,3,0)&amp;""</f>
        <v/>
      </c>
      <c r="D241" s="45" t="str">
        <f>VLOOKUP($A241,'Institution Evaluation'!$A$56:$K$345,4,0)&amp;""</f>
        <v>This question does not apply.</v>
      </c>
      <c r="E241" s="326" t="str">
        <f>VLOOKUP($A241,'Institution Evaluation'!$A$56:$K$345,5,0)&amp;""</f>
        <v>Based on the response to REQU-05 on the "START HERE" tab, this question does not apply to this product or service.</v>
      </c>
      <c r="F241" s="184" t="str">
        <f>VLOOKUP($A241,'Institution Evaluation'!$A$56:$K$345,6,0)&amp;""</f>
        <v/>
      </c>
      <c r="G241" s="30" t="str">
        <f>VLOOKUP($A241,'Institution Evaluation'!$A$56:$K$345,7,0)&amp;""</f>
        <v>Yes</v>
      </c>
      <c r="H241" s="181" t="str">
        <f>VLOOKUP($A241,'Institution Evaluation'!$A$56:$K$345,8,0)&amp;""</f>
        <v/>
      </c>
      <c r="I241" s="45" t="str">
        <f>VLOOKUP($A241,'Institution Evaluation'!$A$56:$K$345,9,0)&amp;""</f>
        <v>Standard Importance</v>
      </c>
      <c r="J241" s="182" t="str">
        <f>VLOOKUP($A241,'Institution Evaluation'!$A$56:$K$345,10,0)&amp;""</f>
        <v/>
      </c>
      <c r="K241" s="48" t="str">
        <f>IF(VLOOKUP($A241,'Institution Evaluation'!$A$56:$K$345,10,0)=TRUE,'Auto Responses'!$J$3,"")</f>
        <v/>
      </c>
    </row>
    <row r="242" spans="1:14" ht="75" x14ac:dyDescent="0.3">
      <c r="A242" s="19" t="s">
        <v>380</v>
      </c>
      <c r="B242" s="18" t="str">
        <f>VLOOKUP($A242,Questions!$A$2:$X$333,2,0)</f>
        <v>Can the application logs be saved externally?</v>
      </c>
      <c r="C242" s="45" t="str">
        <f>VLOOKUP($A242,'Institution Evaluation'!$A$56:$K$345,3,0)&amp;""</f>
        <v/>
      </c>
      <c r="D242" s="45" t="str">
        <f>VLOOKUP($A242,'Institution Evaluation'!$A$56:$K$345,4,0)&amp;""</f>
        <v>This question does not apply.</v>
      </c>
      <c r="E242" s="326" t="str">
        <f>VLOOKUP($A242,'Institution Evaluation'!$A$56:$K$345,5,0)&amp;""</f>
        <v>Based on the response to REQU-05 on the "START HERE" tab, this question does not apply to this product or service.</v>
      </c>
      <c r="F242" s="184" t="str">
        <f>VLOOKUP($A242,'Institution Evaluation'!$A$56:$K$345,6,0)&amp;""</f>
        <v/>
      </c>
      <c r="G242" s="30" t="str">
        <f>VLOOKUP($A242,'Institution Evaluation'!$A$56:$K$345,7,0)&amp;""</f>
        <v>Yes</v>
      </c>
      <c r="H242" s="181" t="str">
        <f>VLOOKUP($A242,'Institution Evaluation'!$A$56:$K$345,8,0)&amp;""</f>
        <v/>
      </c>
      <c r="I242" s="45" t="str">
        <f>VLOOKUP($A242,'Institution Evaluation'!$A$56:$K$345,9,0)&amp;""</f>
        <v>Standard Importance</v>
      </c>
      <c r="J242" s="182" t="str">
        <f>VLOOKUP($A242,'Institution Evaluation'!$A$56:$K$345,10,0)&amp;""</f>
        <v/>
      </c>
      <c r="K242" s="48" t="str">
        <f>IF(VLOOKUP($A242,'Institution Evaluation'!$A$56:$K$345,10,0)=TRUE,'Auto Responses'!$J$3,"")</f>
        <v/>
      </c>
    </row>
    <row r="243" spans="1:14" ht="75" x14ac:dyDescent="0.3">
      <c r="A243" s="19" t="s">
        <v>381</v>
      </c>
      <c r="B243" s="18" t="str">
        <f>VLOOKUP($A243,Questions!$A$2:$X$333,2,0)</f>
        <v>Do you have a disaster recovery plan and emergency mode operation plan?</v>
      </c>
      <c r="C243" s="45" t="str">
        <f>VLOOKUP($A243,'Institution Evaluation'!$A$56:$K$345,3,0)&amp;""</f>
        <v/>
      </c>
      <c r="D243" s="45" t="str">
        <f>VLOOKUP($A243,'Institution Evaluation'!$A$56:$K$345,4,0)&amp;""</f>
        <v>This question does not apply.</v>
      </c>
      <c r="E243" s="326" t="str">
        <f>VLOOKUP($A243,'Institution Evaluation'!$A$56:$K$345,5,0)&amp;""</f>
        <v>Based on the response to REQU-05 on the "START HERE" tab, this question does not apply to this product or service.</v>
      </c>
      <c r="F243" s="184" t="str">
        <f>VLOOKUP($A243,'Institution Evaluation'!$A$56:$K$345,6,0)&amp;""</f>
        <v/>
      </c>
      <c r="G243" s="30" t="str">
        <f>VLOOKUP($A243,'Institution Evaluation'!$A$56:$K$345,7,0)&amp;""</f>
        <v>Yes</v>
      </c>
      <c r="H243" s="181" t="str">
        <f>VLOOKUP($A243,'Institution Evaluation'!$A$56:$K$345,8,0)&amp;""</f>
        <v/>
      </c>
      <c r="I243" s="45" t="str">
        <f>VLOOKUP($A243,'Institution Evaluation'!$A$56:$K$345,9,0)&amp;""</f>
        <v>Standard Importance</v>
      </c>
      <c r="J243" s="182" t="str">
        <f>VLOOKUP($A243,'Institution Evaluation'!$A$56:$K$345,10,0)&amp;""</f>
        <v/>
      </c>
      <c r="K243" s="48" t="str">
        <f>IF(VLOOKUP($A243,'Institution Evaluation'!$A$56:$K$345,10,0)=TRUE,'Auto Responses'!$J$3,"")</f>
        <v/>
      </c>
    </row>
    <row r="244" spans="1:14" ht="75" x14ac:dyDescent="0.3">
      <c r="A244" s="19" t="s">
        <v>382</v>
      </c>
      <c r="B244" s="18" t="str">
        <f>VLOOKUP($A244,Questions!$A$2:$X$333,2,0)</f>
        <v>Can you provide a HIPAA compliance attestation document?</v>
      </c>
      <c r="C244" s="45" t="str">
        <f>VLOOKUP($A244,'Institution Evaluation'!$A$56:$K$345,3,0)&amp;""</f>
        <v/>
      </c>
      <c r="D244" s="45" t="str">
        <f>VLOOKUP($A244,'Institution Evaluation'!$A$56:$K$345,4,0)&amp;""</f>
        <v>This question does not apply.</v>
      </c>
      <c r="E244" s="326" t="str">
        <f>VLOOKUP($A244,'Institution Evaluation'!$A$56:$K$345,5,0)&amp;""</f>
        <v>Based on the response to REQU-05 on the "START HERE" tab, this question does not apply to this product or service.</v>
      </c>
      <c r="F244" s="184" t="str">
        <f>VLOOKUP($A244,'Institution Evaluation'!$A$56:$K$345,6,0)&amp;""</f>
        <v/>
      </c>
      <c r="G244" s="30" t="str">
        <f>VLOOKUP($A244,'Institution Evaluation'!$A$56:$K$345,7,0)&amp;""</f>
        <v>Yes</v>
      </c>
      <c r="H244" s="181" t="str">
        <f>VLOOKUP($A244,'Institution Evaluation'!$A$56:$K$345,8,0)&amp;""</f>
        <v/>
      </c>
      <c r="I244" s="45" t="str">
        <f>VLOOKUP($A244,'Institution Evaluation'!$A$56:$K$345,9,0)&amp;""</f>
        <v>Standard Importance</v>
      </c>
      <c r="J244" s="182" t="str">
        <f>VLOOKUP($A244,'Institution Evaluation'!$A$56:$K$345,10,0)&amp;""</f>
        <v/>
      </c>
      <c r="K244" s="48" t="str">
        <f>IF(VLOOKUP($A244,'Institution Evaluation'!$A$56:$K$345,10,0)=TRUE,'Auto Responses'!$J$3,"")</f>
        <v/>
      </c>
    </row>
    <row r="245" spans="1:14" ht="75" x14ac:dyDescent="0.3">
      <c r="A245" s="19" t="s">
        <v>383</v>
      </c>
      <c r="B245" s="18" t="str">
        <f>VLOOKUP($A245,Questions!$A$2:$X$333,2,0)</f>
        <v>Are you willing to enter into a Business Associate Agreement (BAA)?</v>
      </c>
      <c r="C245" s="45" t="str">
        <f>VLOOKUP($A245,'Institution Evaluation'!$A$56:$K$345,3,0)&amp;""</f>
        <v/>
      </c>
      <c r="D245" s="45" t="str">
        <f>VLOOKUP($A245,'Institution Evaluation'!$A$56:$K$345,4,0)&amp;""</f>
        <v>This question does not apply.</v>
      </c>
      <c r="E245" s="326" t="str">
        <f>VLOOKUP($A245,'Institution Evaluation'!$A$56:$K$345,5,0)&amp;""</f>
        <v>Based on the response to REQU-05 on the "START HERE" tab, this question does not apply to this product or service.</v>
      </c>
      <c r="F245" s="184" t="str">
        <f>VLOOKUP($A245,'Institution Evaluation'!$A$56:$K$345,6,0)&amp;""</f>
        <v/>
      </c>
      <c r="G245" s="30" t="str">
        <f>VLOOKUP($A245,'Institution Evaluation'!$A$56:$K$345,7,0)&amp;""</f>
        <v>Yes</v>
      </c>
      <c r="H245" s="181" t="str">
        <f>VLOOKUP($A245,'Institution Evaluation'!$A$56:$K$345,8,0)&amp;""</f>
        <v/>
      </c>
      <c r="I245" s="45" t="str">
        <f>VLOOKUP($A245,'Institution Evaluation'!$A$56:$K$345,9,0)&amp;""</f>
        <v>Standard Importance</v>
      </c>
      <c r="J245" s="182" t="str">
        <f>VLOOKUP($A245,'Institution Evaluation'!$A$56:$K$345,10,0)&amp;""</f>
        <v/>
      </c>
      <c r="K245" s="48" t="str">
        <f>IF(VLOOKUP($A245,'Institution Evaluation'!$A$56:$K$345,10,0)=TRUE,'Auto Responses'!$J$3,"")</f>
        <v/>
      </c>
    </row>
    <row r="246" spans="1:14" ht="75" x14ac:dyDescent="0.3">
      <c r="A246" s="19" t="s">
        <v>384</v>
      </c>
      <c r="B246" s="18" t="str">
        <f>VLOOKUP($A246,Questions!$A$2:$X$333,2,0)</f>
        <v>Do your data backup and retention policies and practices meet HIPAA requirements?</v>
      </c>
      <c r="C246" s="45" t="str">
        <f>VLOOKUP($A246,'Institution Evaluation'!$A$56:$K$345,3,0)&amp;""</f>
        <v/>
      </c>
      <c r="D246" s="45" t="str">
        <f>VLOOKUP($A246,'Institution Evaluation'!$A$56:$K$345,4,0)&amp;""</f>
        <v>This question does not apply.</v>
      </c>
      <c r="E246" s="326" t="str">
        <f>VLOOKUP($A246,'Institution Evaluation'!$A$56:$K$345,5,0)&amp;""</f>
        <v>Based on the response to REQU-05 on the "START HERE" tab, this question does not apply to this product or service.</v>
      </c>
      <c r="F246" s="184" t="str">
        <f>VLOOKUP($A246,'Institution Evaluation'!$A$56:$K$345,6,0)&amp;""</f>
        <v/>
      </c>
      <c r="G246" s="30" t="str">
        <f>VLOOKUP($A246,'Institution Evaluation'!$A$56:$K$345,7,0)&amp;""</f>
        <v>Yes</v>
      </c>
      <c r="H246" s="181" t="str">
        <f>VLOOKUP($A246,'Institution Evaluation'!$A$56:$K$345,8,0)&amp;""</f>
        <v/>
      </c>
      <c r="I246" s="45" t="str">
        <f>VLOOKUP($A246,'Institution Evaluation'!$A$56:$K$345,9,0)&amp;""</f>
        <v>Minor Importance</v>
      </c>
      <c r="J246" s="182" t="str">
        <f>VLOOKUP($A246,'Institution Evaluation'!$A$56:$K$345,10,0)&amp;""</f>
        <v/>
      </c>
      <c r="K246" s="48" t="str">
        <f>IF(VLOOKUP($A246,'Institution Evaluation'!$A$56:$K$345,10,0)=TRUE,'Auto Responses'!$J$3,"")</f>
        <v/>
      </c>
    </row>
    <row r="247" spans="1:14" s="1" customFormat="1" ht="17.5" x14ac:dyDescent="0.25">
      <c r="A247" s="63" t="str">
        <f>VLOOKUP(LEFT($A248,4),'Auto Responses'!$N$4:$O$38,2,0)&amp;""</f>
        <v xml:space="preserve"> Payment Card Industry Data Security Standard (PCI DSS)</v>
      </c>
      <c r="B247" s="22"/>
      <c r="C247" s="31"/>
      <c r="D247" s="31"/>
      <c r="E247" s="327"/>
      <c r="F247" s="129" t="s">
        <v>632</v>
      </c>
      <c r="G247" s="331" t="s">
        <v>627</v>
      </c>
      <c r="H247" s="331" t="s">
        <v>628</v>
      </c>
      <c r="I247" s="331" t="s">
        <v>629</v>
      </c>
      <c r="J247" s="331" t="s">
        <v>630</v>
      </c>
      <c r="K247" s="31"/>
    </row>
    <row r="248" spans="1:14" ht="75" x14ac:dyDescent="0.3">
      <c r="A248" s="19" t="s">
        <v>385</v>
      </c>
      <c r="B248" s="18" t="str">
        <f>VLOOKUP($A248,Questions!$A$2:$X$333,2,0)</f>
        <v>Do you have a current, executed within the past year, Attestation of Compliance (AoC) or Report on Compliance (RoC)?*</v>
      </c>
      <c r="C248" s="45" t="str">
        <f>VLOOKUP($A248,'Institution Evaluation'!$A$56:$K$345,3,0)&amp;""</f>
        <v/>
      </c>
      <c r="D248" s="45" t="str">
        <f>VLOOKUP($A248,'Institution Evaluation'!$A$56:$K$345,4,0)&amp;""</f>
        <v>This question does not apply.</v>
      </c>
      <c r="E248" s="326" t="str">
        <f>VLOOKUP($A248,'Institution Evaluation'!$A$56:$K$345,5,0)&amp;""</f>
        <v>Based on the response to REQU-06 on the "START HERE" tab, this question does not apply to this product or service.</v>
      </c>
      <c r="F248" s="184" t="str">
        <f>VLOOKUP($A248,'Institution Evaluation'!$A$56:$K$345,6,0)&amp;""</f>
        <v/>
      </c>
      <c r="G248" s="30" t="str">
        <f>VLOOKUP($A248,'Institution Evaluation'!$A$56:$K$345,7,0)&amp;""</f>
        <v>Yes</v>
      </c>
      <c r="H248" s="181" t="str">
        <f>VLOOKUP($A248,'Institution Evaluation'!$A$56:$K$345,8,0)&amp;""</f>
        <v/>
      </c>
      <c r="I248" s="45" t="str">
        <f>VLOOKUP($A248,'Institution Evaluation'!$A$56:$K$345,9,0)&amp;""</f>
        <v>Critical Importance</v>
      </c>
      <c r="J248" s="182" t="str">
        <f>VLOOKUP($A248,'Institution Evaluation'!$A$56:$K$345,10,0)&amp;""</f>
        <v/>
      </c>
      <c r="K248" s="48" t="str">
        <f>IF(VLOOKUP($A248,'Institution Evaluation'!$A$56:$K$345,10,0)=TRUE,'Auto Responses'!$J$3,"")</f>
        <v/>
      </c>
      <c r="N248" s="60"/>
    </row>
    <row r="249" spans="1:14" ht="75" x14ac:dyDescent="0.3">
      <c r="A249" s="19" t="s">
        <v>386</v>
      </c>
      <c r="B249" s="18" t="str">
        <f>VLOOKUP($A249,Questions!$A$2:$X$333,2,0)</f>
        <v>Is the application listed as an approved Payment Application Data Security Standard (PA-DSS) application?*</v>
      </c>
      <c r="C249" s="45" t="str">
        <f>VLOOKUP($A249,'Institution Evaluation'!$A$56:$K$345,3,0)&amp;""</f>
        <v/>
      </c>
      <c r="D249" s="45" t="str">
        <f>VLOOKUP($A249,'Institution Evaluation'!$A$56:$K$345,4,0)&amp;""</f>
        <v>This question does not apply.</v>
      </c>
      <c r="E249" s="326" t="str">
        <f>VLOOKUP($A249,'Institution Evaluation'!$A$56:$K$345,5,0)&amp;""</f>
        <v>Based on the response to REQU-06 on the "START HERE" tab, this question does not apply to this product or service.</v>
      </c>
      <c r="F249" s="184" t="str">
        <f>VLOOKUP($A249,'Institution Evaluation'!$A$56:$K$345,6,0)&amp;""</f>
        <v/>
      </c>
      <c r="G249" s="30" t="str">
        <f>VLOOKUP($A249,'Institution Evaluation'!$A$56:$K$345,7,0)&amp;""</f>
        <v>No</v>
      </c>
      <c r="H249" s="181" t="str">
        <f>VLOOKUP($A249,'Institution Evaluation'!$A$56:$K$345,8,0)&amp;""</f>
        <v/>
      </c>
      <c r="I249" s="45" t="str">
        <f>VLOOKUP($A249,'Institution Evaluation'!$A$56:$K$345,9,0)&amp;""</f>
        <v>Critical Importance</v>
      </c>
      <c r="J249" s="182" t="str">
        <f>VLOOKUP($A249,'Institution Evaluation'!$A$56:$K$345,10,0)&amp;""</f>
        <v/>
      </c>
      <c r="K249" s="48" t="str">
        <f>IF(VLOOKUP($A249,'Institution Evaluation'!$A$56:$K$345,10,0)=TRUE,'Auto Responses'!$J$3,"")</f>
        <v/>
      </c>
    </row>
    <row r="250" spans="1:14" ht="75" x14ac:dyDescent="0.3">
      <c r="A250" s="19" t="s">
        <v>387</v>
      </c>
      <c r="B250" s="18" t="str">
        <f>VLOOKUP($A250,Questions!$A$2:$X$333,2,0)</f>
        <v>Does the system or solutions use a third party to collect, store, process, or transmit cardholder (payment/credit/debt card) data?*</v>
      </c>
      <c r="C250" s="45" t="str">
        <f>VLOOKUP($A250,'Institution Evaluation'!$A$56:$K$345,3,0)&amp;""</f>
        <v/>
      </c>
      <c r="D250" s="45" t="str">
        <f>VLOOKUP($A250,'Institution Evaluation'!$A$56:$K$345,4,0)&amp;""</f>
        <v>This question does not apply.</v>
      </c>
      <c r="E250" s="326" t="str">
        <f>VLOOKUP($A250,'Institution Evaluation'!$A$56:$K$345,5,0)&amp;""</f>
        <v>Based on the response to REQU-06 on the "START HERE" tab, this question does not apply to this product or service.</v>
      </c>
      <c r="F250" s="184" t="str">
        <f>VLOOKUP($A250,'Institution Evaluation'!$A$56:$K$345,6,0)&amp;""</f>
        <v/>
      </c>
      <c r="G250" s="30" t="str">
        <f>VLOOKUP($A250,'Institution Evaluation'!$A$56:$K$345,7,0)&amp;""</f>
        <v>No</v>
      </c>
      <c r="H250" s="181" t="str">
        <f>VLOOKUP($A250,'Institution Evaluation'!$A$56:$K$345,8,0)&amp;""</f>
        <v/>
      </c>
      <c r="I250" s="45" t="str">
        <f>VLOOKUP($A250,'Institution Evaluation'!$A$56:$K$345,9,0)&amp;""</f>
        <v>Critical Importance</v>
      </c>
      <c r="J250" s="182" t="str">
        <f>VLOOKUP($A250,'Institution Evaluation'!$A$56:$K$345,10,0)&amp;""</f>
        <v/>
      </c>
      <c r="K250" s="48" t="str">
        <f>IF(VLOOKUP($A250,'Institution Evaluation'!$A$56:$K$345,10,0)=TRUE,'Auto Responses'!$J$3,"")</f>
        <v/>
      </c>
    </row>
    <row r="251" spans="1:14" ht="75" x14ac:dyDescent="0.3">
      <c r="A251" s="19" t="s">
        <v>388</v>
      </c>
      <c r="B251" s="18" t="str">
        <f>VLOOKUP($A251,Questions!$A$2:$X$333,2,0)</f>
        <v>Do your systems or solutions store, process, or transmit cardholder (payment/credit/debt card) data?</v>
      </c>
      <c r="C251" s="45" t="str">
        <f>VLOOKUP($A251,'Institution Evaluation'!$A$56:$K$345,3,0)&amp;""</f>
        <v/>
      </c>
      <c r="D251" s="45" t="str">
        <f>VLOOKUP($A251,'Institution Evaluation'!$A$56:$K$345,4,0)&amp;""</f>
        <v>This question does not apply.</v>
      </c>
      <c r="E251" s="326" t="str">
        <f>VLOOKUP($A251,'Institution Evaluation'!$A$56:$K$345,5,0)&amp;""</f>
        <v>Based on the response to REQU-06 on the "START HERE" tab, this question does not apply to this product or service.</v>
      </c>
      <c r="F251" s="184" t="str">
        <f>VLOOKUP($A251,'Institution Evaluation'!$A$56:$K$345,6,0)&amp;""</f>
        <v/>
      </c>
      <c r="G251" s="30" t="str">
        <f>VLOOKUP($A251,'Institution Evaluation'!$A$56:$K$345,7,0)&amp;""</f>
        <v>Yes</v>
      </c>
      <c r="H251" s="181" t="str">
        <f>VLOOKUP($A251,'Institution Evaluation'!$A$56:$K$345,8,0)&amp;""</f>
        <v/>
      </c>
      <c r="I251" s="45" t="str">
        <f>VLOOKUP($A251,'Institution Evaluation'!$A$56:$K$345,9,0)&amp;""</f>
        <v>Standard Importance</v>
      </c>
      <c r="J251" s="182" t="str">
        <f>VLOOKUP($A251,'Institution Evaluation'!$A$56:$K$345,10,0)&amp;""</f>
        <v/>
      </c>
      <c r="K251" s="48" t="str">
        <f>IF(VLOOKUP($A251,'Institution Evaluation'!$A$56:$K$345,10,0)=TRUE,'Auto Responses'!$J$3,"")</f>
        <v/>
      </c>
    </row>
    <row r="252" spans="1:14" ht="75" x14ac:dyDescent="0.3">
      <c r="A252" s="19" t="s">
        <v>389</v>
      </c>
      <c r="B252" s="18" t="str">
        <f>VLOOKUP($A252,Questions!$A$2:$X$333,2,0)</f>
        <v>Are you compliant with the Payment Card Industry Data Security Standard (PCI DSS)?</v>
      </c>
      <c r="C252" s="45" t="str">
        <f>VLOOKUP($A252,'Institution Evaluation'!$A$56:$K$345,3,0)&amp;""</f>
        <v/>
      </c>
      <c r="D252" s="45" t="str">
        <f>VLOOKUP($A252,'Institution Evaluation'!$A$56:$K$345,4,0)&amp;""</f>
        <v>This question does not apply.</v>
      </c>
      <c r="E252" s="326" t="str">
        <f>VLOOKUP($A252,'Institution Evaluation'!$A$56:$K$345,5,0)&amp;""</f>
        <v>Based on the response to REQU-06 on the "START HERE" tab, this question does not apply to this product or service.</v>
      </c>
      <c r="F252" s="184" t="str">
        <f>VLOOKUP($A252,'Institution Evaluation'!$A$56:$K$345,6,0)&amp;""</f>
        <v/>
      </c>
      <c r="G252" s="30" t="str">
        <f>VLOOKUP($A252,'Institution Evaluation'!$A$56:$K$345,7,0)&amp;""</f>
        <v>Yes</v>
      </c>
      <c r="H252" s="181" t="str">
        <f>VLOOKUP($A252,'Institution Evaluation'!$A$56:$K$345,8,0)&amp;""</f>
        <v/>
      </c>
      <c r="I252" s="45" t="str">
        <f>VLOOKUP($A252,'Institution Evaluation'!$A$56:$K$345,9,0)&amp;""</f>
        <v>Standard Importance</v>
      </c>
      <c r="J252" s="182" t="str">
        <f>VLOOKUP($A252,'Institution Evaluation'!$A$56:$K$345,10,0)&amp;""</f>
        <v/>
      </c>
      <c r="K252" s="48" t="str">
        <f>IF(VLOOKUP($A252,'Institution Evaluation'!$A$56:$K$345,10,0)=TRUE,'Auto Responses'!$J$3,"")</f>
        <v/>
      </c>
    </row>
    <row r="253" spans="1:14" ht="75" x14ac:dyDescent="0.3">
      <c r="A253" s="19" t="s">
        <v>390</v>
      </c>
      <c r="B253" s="18" t="str">
        <f>VLOOKUP($A253,Questions!$A$2:$X$333,2,0)</f>
        <v>Are you classified as a service provider?</v>
      </c>
      <c r="C253" s="45" t="str">
        <f>VLOOKUP($A253,'Institution Evaluation'!$A$56:$K$345,3,0)&amp;""</f>
        <v/>
      </c>
      <c r="D253" s="45" t="str">
        <f>VLOOKUP($A253,'Institution Evaluation'!$A$56:$K$345,4,0)&amp;""</f>
        <v>This question does not apply.</v>
      </c>
      <c r="E253" s="326" t="str">
        <f>VLOOKUP($A253,'Institution Evaluation'!$A$56:$K$345,5,0)&amp;""</f>
        <v>Based on the response to REQU-06 on the "START HERE" tab, this question does not apply to this product or service.</v>
      </c>
      <c r="F253" s="184" t="str">
        <f>VLOOKUP($A253,'Institution Evaluation'!$A$56:$K$345,6,0)&amp;""</f>
        <v/>
      </c>
      <c r="G253" s="30" t="str">
        <f>VLOOKUP($A253,'Institution Evaluation'!$A$56:$K$345,7,0)&amp;""</f>
        <v>Yes</v>
      </c>
      <c r="H253" s="181" t="str">
        <f>VLOOKUP($A253,'Institution Evaluation'!$A$56:$K$345,8,0)&amp;""</f>
        <v/>
      </c>
      <c r="I253" s="45" t="str">
        <f>VLOOKUP($A253,'Institution Evaluation'!$A$56:$K$345,9,0)&amp;""</f>
        <v>Standard Importance</v>
      </c>
      <c r="J253" s="182" t="str">
        <f>VLOOKUP($A253,'Institution Evaluation'!$A$56:$K$345,10,0)&amp;""</f>
        <v/>
      </c>
      <c r="K253" s="48" t="str">
        <f>IF(VLOOKUP($A253,'Institution Evaluation'!$A$56:$K$345,10,0)=TRUE,'Auto Responses'!$J$3,"")</f>
        <v/>
      </c>
    </row>
    <row r="254" spans="1:14" ht="75" x14ac:dyDescent="0.3">
      <c r="A254" s="19" t="s">
        <v>391</v>
      </c>
      <c r="B254" s="18" t="str">
        <f>VLOOKUP($A254,Questions!$A$2:$X$333,2,0)</f>
        <v>Are you on the list of Visa approved service providers?</v>
      </c>
      <c r="C254" s="45" t="str">
        <f>VLOOKUP($A254,'Institution Evaluation'!$A$56:$K$345,3,0)&amp;""</f>
        <v/>
      </c>
      <c r="D254" s="45" t="str">
        <f>VLOOKUP($A254,'Institution Evaluation'!$A$56:$K$345,4,0)&amp;""</f>
        <v>This question does not apply.</v>
      </c>
      <c r="E254" s="326" t="str">
        <f>VLOOKUP($A254,'Institution Evaluation'!$A$56:$K$345,5,0)&amp;""</f>
        <v>Based on the response to REQU-06 on the "START HERE" tab, this question does not apply to this product or service.</v>
      </c>
      <c r="F254" s="184" t="str">
        <f>VLOOKUP($A254,'Institution Evaluation'!$A$56:$K$345,6,0)&amp;""</f>
        <v/>
      </c>
      <c r="G254" s="30" t="str">
        <f>VLOOKUP($A254,'Institution Evaluation'!$A$56:$K$345,7,0)&amp;""</f>
        <v>Yes</v>
      </c>
      <c r="H254" s="181" t="str">
        <f>VLOOKUP($A254,'Institution Evaluation'!$A$56:$K$345,8,0)&amp;""</f>
        <v/>
      </c>
      <c r="I254" s="45" t="str">
        <f>VLOOKUP($A254,'Institution Evaluation'!$A$56:$K$345,9,0)&amp;""</f>
        <v>Standard Importance</v>
      </c>
      <c r="J254" s="182" t="str">
        <f>VLOOKUP($A254,'Institution Evaluation'!$A$56:$K$345,10,0)&amp;""</f>
        <v/>
      </c>
      <c r="K254" s="48" t="str">
        <f>IF(VLOOKUP($A254,'Institution Evaluation'!$A$56:$K$345,10,0)=TRUE,'Auto Responses'!$J$3,"")</f>
        <v/>
      </c>
    </row>
    <row r="255" spans="1:14" ht="75" x14ac:dyDescent="0.3">
      <c r="A255" s="19" t="s">
        <v>392</v>
      </c>
      <c r="B255" s="18" t="str">
        <f>VLOOKUP($A255,Questions!$A$2:$X$333,2,0)</f>
        <v>Are you classified as a merchant? If so, what level (1, 2, 3, 4)?</v>
      </c>
      <c r="C255" s="45" t="str">
        <f>VLOOKUP($A255,'Institution Evaluation'!$A$56:$K$345,3,0)&amp;""</f>
        <v/>
      </c>
      <c r="D255" s="45" t="str">
        <f>VLOOKUP($A255,'Institution Evaluation'!$A$56:$K$345,4,0)&amp;""</f>
        <v>This question does not apply.</v>
      </c>
      <c r="E255" s="326" t="str">
        <f>VLOOKUP($A255,'Institution Evaluation'!$A$56:$K$345,5,0)&amp;""</f>
        <v>Based on the response to REQU-06 on the "START HERE" tab, this question does not apply to this product or service.</v>
      </c>
      <c r="F255" s="184" t="str">
        <f>VLOOKUP($A255,'Institution Evaluation'!$A$56:$K$345,6,0)&amp;""</f>
        <v/>
      </c>
      <c r="G255" s="30" t="str">
        <f>VLOOKUP($A255,'Institution Evaluation'!$A$56:$K$345,7,0)&amp;""</f>
        <v>Yes</v>
      </c>
      <c r="H255" s="181" t="str">
        <f>VLOOKUP($A255,'Institution Evaluation'!$A$56:$K$345,8,0)&amp;""</f>
        <v/>
      </c>
      <c r="I255" s="45" t="str">
        <f>VLOOKUP($A255,'Institution Evaluation'!$A$56:$K$345,9,0)&amp;""</f>
        <v>Standard Importance</v>
      </c>
      <c r="J255" s="182" t="str">
        <f>VLOOKUP($A255,'Institution Evaluation'!$A$56:$K$345,10,0)&amp;""</f>
        <v/>
      </c>
      <c r="K255" s="48" t="str">
        <f>IF(VLOOKUP($A255,'Institution Evaluation'!$A$56:$K$345,10,0)=TRUE,'Auto Responses'!$J$3,"")</f>
        <v/>
      </c>
    </row>
    <row r="256" spans="1:14" ht="75" x14ac:dyDescent="0.3">
      <c r="A256" s="19" t="s">
        <v>393</v>
      </c>
      <c r="B256" s="18" t="str">
        <f>VLOOKUP($A256,Questions!$A$2:$X$333,2,0)</f>
        <v>Describe the architecture employed by the system to verify and authorize credit card transactions.</v>
      </c>
      <c r="C256" s="45" t="str">
        <f>VLOOKUP($A256,'Institution Evaluation'!$A$56:$K$345,3,0)&amp;""</f>
        <v/>
      </c>
      <c r="D256" s="45" t="str">
        <f>VLOOKUP($A256,'Institution Evaluation'!$A$56:$K$345,4,0)&amp;""</f>
        <v>This question does not apply.</v>
      </c>
      <c r="E256" s="326" t="str">
        <f>VLOOKUP($A256,'Institution Evaluation'!$A$56:$K$345,5,0)&amp;""</f>
        <v>Based on the response to REQU-06 on the "START HERE" tab, this question does not apply to this product or service.</v>
      </c>
      <c r="F256" s="184" t="str">
        <f>VLOOKUP($A256,'Institution Evaluation'!$A$56:$K$345,6,0)&amp;""</f>
        <v/>
      </c>
      <c r="G256" s="30" t="str">
        <f>VLOOKUP($A256,'Institution Evaluation'!$A$56:$K$345,7,0)&amp;""</f>
        <v>Not scored</v>
      </c>
      <c r="H256" s="181" t="str">
        <f>VLOOKUP($A256,'Institution Evaluation'!$A$56:$K$345,8,0)&amp;""</f>
        <v/>
      </c>
      <c r="I256" s="45" t="str">
        <f>VLOOKUP($A256,'Institution Evaluation'!$A$56:$K$345,9,0)&amp;""</f>
        <v/>
      </c>
      <c r="J256" s="182" t="str">
        <f>VLOOKUP($A256,'Institution Evaluation'!$A$56:$K$345,10,0)&amp;""</f>
        <v/>
      </c>
      <c r="K256" s="48" t="str">
        <f>IF(VLOOKUP($A256,'Institution Evaluation'!$A$56:$K$345,10,0)=TRUE,'Auto Responses'!$J$3,"")</f>
        <v/>
      </c>
    </row>
    <row r="257" spans="1:13" ht="75" x14ac:dyDescent="0.3">
      <c r="A257" s="19" t="s">
        <v>394</v>
      </c>
      <c r="B257" s="18" t="str">
        <f>VLOOKUP($A257,Questions!$A$2:$X$333,2,0)</f>
        <v>What payment processors/gateways does the system support?</v>
      </c>
      <c r="C257" s="45" t="str">
        <f>VLOOKUP($A257,'Institution Evaluation'!$A$56:$K$345,3,0)&amp;""</f>
        <v/>
      </c>
      <c r="D257" s="45" t="str">
        <f>VLOOKUP($A257,'Institution Evaluation'!$A$56:$K$345,4,0)&amp;""</f>
        <v>This question does not apply.</v>
      </c>
      <c r="E257" s="326" t="str">
        <f>VLOOKUP($A257,'Institution Evaluation'!$A$56:$K$345,5,0)&amp;""</f>
        <v>Based on the response to REQU-06 on the "START HERE" tab, this question does not apply to this product or service.</v>
      </c>
      <c r="F257" s="184" t="str">
        <f>VLOOKUP($A257,'Institution Evaluation'!$A$56:$K$345,6,0)&amp;""</f>
        <v/>
      </c>
      <c r="G257" s="30" t="str">
        <f>VLOOKUP($A257,'Institution Evaluation'!$A$56:$K$345,7,0)&amp;""</f>
        <v>Not scored</v>
      </c>
      <c r="H257" s="181" t="str">
        <f>VLOOKUP($A257,'Institution Evaluation'!$A$56:$K$345,8,0)&amp;""</f>
        <v/>
      </c>
      <c r="I257" s="45" t="str">
        <f>VLOOKUP($A257,'Institution Evaluation'!$A$56:$K$345,9,0)&amp;""</f>
        <v/>
      </c>
      <c r="J257" s="182" t="str">
        <f>VLOOKUP($A257,'Institution Evaluation'!$A$56:$K$345,10,0)&amp;""</f>
        <v/>
      </c>
      <c r="K257" s="48" t="str">
        <f>IF(VLOOKUP($A257,'Institution Evaluation'!$A$56:$K$345,10,0)=TRUE,'Auto Responses'!$J$3,"")</f>
        <v/>
      </c>
    </row>
    <row r="258" spans="1:13" ht="75" x14ac:dyDescent="0.3">
      <c r="A258" s="19" t="s">
        <v>395</v>
      </c>
      <c r="B258" s="18" t="str">
        <f>VLOOKUP($A258,Questions!$A$2:$X$333,2,0)</f>
        <v>Can the application be installed in a PCI DSS–compliant manner?</v>
      </c>
      <c r="C258" s="45" t="str">
        <f>VLOOKUP($A258,'Institution Evaluation'!$A$56:$K$345,3,0)&amp;""</f>
        <v/>
      </c>
      <c r="D258" s="45" t="str">
        <f>VLOOKUP($A258,'Institution Evaluation'!$A$56:$K$345,4,0)&amp;""</f>
        <v>This question does not apply.</v>
      </c>
      <c r="E258" s="326" t="str">
        <f>VLOOKUP($A258,'Institution Evaluation'!$A$56:$K$345,5,0)&amp;""</f>
        <v>Based on the response to REQU-06 on the "START HERE" tab, this question does not apply to this product or service.</v>
      </c>
      <c r="F258" s="184" t="str">
        <f>VLOOKUP($A258,'Institution Evaluation'!$A$56:$K$345,6,0)&amp;""</f>
        <v/>
      </c>
      <c r="G258" s="30" t="str">
        <f>VLOOKUP($A258,'Institution Evaluation'!$A$56:$K$345,7,0)&amp;""</f>
        <v>Yes</v>
      </c>
      <c r="H258" s="181" t="str">
        <f>VLOOKUP($A258,'Institution Evaluation'!$A$56:$K$345,8,0)&amp;""</f>
        <v/>
      </c>
      <c r="I258" s="45" t="str">
        <f>VLOOKUP($A258,'Institution Evaluation'!$A$56:$K$345,9,0)&amp;""</f>
        <v>Minor Importance</v>
      </c>
      <c r="J258" s="182" t="str">
        <f>VLOOKUP($A258,'Institution Evaluation'!$A$56:$K$345,10,0)&amp;""</f>
        <v/>
      </c>
      <c r="K258" s="48" t="str">
        <f>IF(VLOOKUP($A258,'Institution Evaluation'!$A$56:$K$345,10,0)=TRUE,'Auto Responses'!$J$3,"")</f>
        <v/>
      </c>
    </row>
    <row r="259" spans="1:13" ht="75" x14ac:dyDescent="0.25">
      <c r="A259" s="19" t="s">
        <v>396</v>
      </c>
      <c r="B259" s="18" t="str">
        <f>VLOOKUP($A259,Questions!$A$2:$X$333,2,0)</f>
        <v>Include documentation describing the system's abilities to comply with the PCI DSS and any features or capabilities of the system that must be added or changed in order to operate in compliance with the standards.</v>
      </c>
      <c r="C259" s="45" t="str">
        <f>VLOOKUP($A259,'Institution Evaluation'!$A$56:$K$345,3,0)&amp;""</f>
        <v/>
      </c>
      <c r="D259" s="45" t="str">
        <f>VLOOKUP($A259,'Institution Evaluation'!$A$56:$K$345,4,0)&amp;""</f>
        <v>This question does not apply.</v>
      </c>
      <c r="E259" s="326" t="str">
        <f>VLOOKUP($A259,'Institution Evaluation'!$A$56:$K$345,5,0)&amp;""</f>
        <v>Based on the response to REQU-06 on the "START HERE" tab, this question does not apply to this product or service.</v>
      </c>
      <c r="F259" s="184" t="str">
        <f>VLOOKUP($A259,'Institution Evaluation'!$A$56:$K$345,6,0)&amp;""</f>
        <v/>
      </c>
      <c r="G259" s="30" t="str">
        <f>VLOOKUP($A259,'Institution Evaluation'!$A$56:$K$345,7,0)&amp;""</f>
        <v>Not scored</v>
      </c>
      <c r="H259" s="181" t="str">
        <f>VLOOKUP($A259,'Institution Evaluation'!$A$56:$K$345,8,0)&amp;""</f>
        <v/>
      </c>
      <c r="I259" s="45" t="str">
        <f>VLOOKUP($A259,'Institution Evaluation'!$A$56:$K$345,9,0)&amp;""</f>
        <v/>
      </c>
      <c r="J259" s="182" t="str">
        <f>VLOOKUP($A259,'Institution Evaluation'!$A$56:$K$345,10,0)&amp;""</f>
        <v/>
      </c>
      <c r="K259" s="48" t="str">
        <f>IF(VLOOKUP($A259,'Institution Evaluation'!$A$56:$K$345,10,0)=TRUE,'Auto Responses'!$J$3,"")</f>
        <v/>
      </c>
      <c r="M259" s="234" t="s">
        <v>36</v>
      </c>
    </row>
    <row r="260" spans="1:13" ht="47.25" customHeight="1" x14ac:dyDescent="0.3">
      <c r="A260" s="263" t="s">
        <v>54</v>
      </c>
    </row>
    <row r="261" spans="1:13" ht="34.5" hidden="1" customHeight="1" x14ac:dyDescent="0.3"/>
    <row r="262" spans="1:13" ht="34.5" hidden="1" customHeight="1" x14ac:dyDescent="0.3"/>
    <row r="263" spans="1:13" ht="34.5" hidden="1" customHeight="1" x14ac:dyDescent="0.3"/>
    <row r="264" spans="1:13" ht="34.5" hidden="1" customHeight="1" x14ac:dyDescent="0.3"/>
    <row r="265" spans="1:13" ht="34.5" hidden="1" customHeight="1" x14ac:dyDescent="0.3"/>
  </sheetData>
  <mergeCells count="1">
    <mergeCell ref="A19:C19"/>
  </mergeCells>
  <phoneticPr fontId="30" type="noConversion"/>
  <conditionalFormatting sqref="F21:G31">
    <cfRule type="dataBar" priority="2">
      <dataBar>
        <cfvo type="num" val="0"/>
        <cfvo type="num" val="1"/>
        <color rgb="FFD0DAF0"/>
      </dataBar>
      <extLst>
        <ext xmlns:x14="http://schemas.microsoft.com/office/spreadsheetml/2009/9/main" uri="{B025F937-C7B1-47D3-B67F-A62EFF666E3E}">
          <x14:id>{4165CB4E-F7AA-436A-8B40-909F03E9D6F5}</x14:id>
        </ext>
      </extLst>
    </cfRule>
  </conditionalFormatting>
  <conditionalFormatting sqref="H31:I31">
    <cfRule type="dataBar" priority="1">
      <dataBar>
        <cfvo type="num" val="0"/>
        <cfvo type="num" val="1"/>
        <color rgb="FF638EC6"/>
      </dataBar>
      <extLst>
        <ext xmlns:x14="http://schemas.microsoft.com/office/spreadsheetml/2009/9/main" uri="{B025F937-C7B1-47D3-B67F-A62EFF666E3E}">
          <x14:id>{A6716C0F-3CA2-4D89-8D49-37B22DBD9D1F}</x14:id>
        </ext>
      </extLst>
    </cfRule>
  </conditionalFormatting>
  <dataValidations count="3">
    <dataValidation allowBlank="1" showInputMessage="1" showErrorMessage="1" prompt="This answer has been populated from the &quot;START HERE&quot; tab and does not need to be re-entered." sqref="C11:C17" xr:uid="{F870502E-697A-4875-ABEE-C92B24B0607E}"/>
    <dataValidation allowBlank="1" showInputMessage="1" showErrorMessage="1" prompt="The HECVAT is built using a number of complex formulas. Editing this cell can break the functionality of the tool. " sqref="A11:B17 A35:K44 B2:J10 A3:A10 B20:I31" xr:uid="{2555B969-D0D6-4640-A68B-2B178F3C9EA5}"/>
    <dataValidation allowBlank="1" showInputMessage="1" showErrorMessage="1" promptTitle="Warning!" prompt="The HECVAT is built using a number of complex formulas. Editing this cell can break the functionality of the tool. " sqref="G247 I46:I120 G46:G120 I130 G130 I135 G135 I142 G142 I145 G145 I150 G150 I160 G160 I164 G164 I170 G170 I173 G173 I189 G189 I192 G192 I199 G199 I207 G207 I212 G212 I217 G217 I247 A45:E120" xr:uid="{2C8E55E6-5CCD-497E-AD40-1159ED4F899F}"/>
  </dataValidations>
  <hyperlinks>
    <hyperlink ref="G21" location="'Privacy Analyst Evaluation'!A47" display="'Privacy Analyst Evaluation'!A47" xr:uid="{63AE7EE6-A856-4AFE-84E3-761A880419C2}"/>
    <hyperlink ref="F247" location="'Privacy Analyst Evaluation'!A1" display="Back to Scorecard" xr:uid="{379AF5FC-674E-4EF2-A183-EE3548258B6D}"/>
    <hyperlink ref="F217" location="'Privacy Analyst Evaluation'!A1" display="Back to Scorecard" xr:uid="{C67BE28C-D43B-404A-9446-F2FB927C3E7D}"/>
    <hyperlink ref="F212" location="'Privacy Analyst Evaluation'!A1" display="Back to Scorecard" xr:uid="{FDF0B533-6B12-4240-A611-BD46DD733A41}"/>
    <hyperlink ref="F207" location="'Privacy Analyst Evaluation'!A1" display="Back to Scorecard" xr:uid="{82180CF4-FE4D-480A-969B-C66D2E194F77}"/>
    <hyperlink ref="F199" location="'Privacy Analyst Evaluation'!A1" display="Back to Scorecard" xr:uid="{F41B2A8E-BB52-403C-9CBB-F1D0D424C60A}"/>
    <hyperlink ref="F192" location="'Privacy Analyst Evaluation'!A1" display="Back to Scorecard" xr:uid="{5080AF1D-7713-4CDD-B46A-FAC872D2B645}"/>
    <hyperlink ref="F189" location="'Privacy Analyst Evaluation'!A1" display="Back to Scorecard" xr:uid="{8367AE48-344C-4DE1-B6C0-3D067CCF36E2}"/>
    <hyperlink ref="F173" location="'Privacy Analyst Evaluation'!A1" display="Back to Scorecard" xr:uid="{0E22E045-58AC-4F59-BFDC-B51EBADA4C9A}"/>
    <hyperlink ref="F170" location="'Privacy Analyst Evaluation'!A1" display="Back to Scorecard" xr:uid="{E80C8F95-67E8-4E83-8D91-72D89341206C}"/>
    <hyperlink ref="F164" location="'Privacy Analyst Evaluation'!A1" display="Back to Scorecard" xr:uid="{71950CE1-93EE-4A22-9EB3-B177163B8D19}"/>
    <hyperlink ref="F160" location="'Privacy Analyst Evaluation'!A1" display="Back to Scorecard" xr:uid="{1678DDD5-5AB1-4BBE-A892-86EE54E5749E}"/>
    <hyperlink ref="F150" location="'Privacy Analyst Evaluation'!A1" display="Back to Scorecard" xr:uid="{932496F6-EF1F-4F3B-9F23-795B54DC61EC}"/>
    <hyperlink ref="F145" location="'Privacy Analyst Evaluation'!A1" display="Back to Scorecard" xr:uid="{E0BBCE8C-F241-4CA0-8057-88431548B815}"/>
    <hyperlink ref="F142" location="'Privacy Analyst Evaluation'!A1" display="Back to Scorecard" xr:uid="{3D1FD166-7415-42C2-9D45-1943E83DE131}"/>
    <hyperlink ref="F135" location="'Privacy Analyst Evaluation'!A1" display="Back to Scorecard" xr:uid="{325A4D09-6C9C-42F7-AB78-2205A726B96B}"/>
    <hyperlink ref="F130" location="'Privacy Analyst Evaluation'!A1" display="Back to Scorecard" xr:uid="{9AFEC1C0-6DC4-4B69-93F1-D6FDD7FCD48F}"/>
    <hyperlink ref="F125" location="'Privacy Analyst Evaluation'!A1" display="Back to Scorecard" xr:uid="{FE56F838-F355-4EFA-AA58-FDACC5DA1138}"/>
    <hyperlink ref="F112" location="'Privacy Analyst Evaluation'!A1" display="Back to Scorecard" xr:uid="{AF1AD6D0-6E84-4FD7-8EB5-76E9501011EE}"/>
    <hyperlink ref="F96" location="'Privacy Analyst Evaluation'!A1" display="Back to Scorecard" xr:uid="{A557E4F2-C33F-4D8A-8B4F-9DDE8341D067}"/>
    <hyperlink ref="F90" location="'Privacy Analyst Evaluation'!A1" display="Back to Scorecard" xr:uid="{1FA36500-AAD2-4FE6-8ED2-BE24426EA2F8}"/>
    <hyperlink ref="F76" location="'Privacy Analyst Evaluation'!A1" display="Back to Scorecard" xr:uid="{A141E48B-0E50-4B02-A927-F8C1FE04F9A3}"/>
    <hyperlink ref="F67" location="'Privacy Analyst Evaluation'!A1" display="Back to Scorecard" xr:uid="{CD2D9C18-9B95-420F-A65A-8C4E1DB820F9}"/>
    <hyperlink ref="F64" location="'Privacy Analyst Evaluation'!A1" display="Back to Scorecard" xr:uid="{56505024-37B2-4CF5-9238-CD47476405E1}"/>
    <hyperlink ref="F61" location="'Privacy Analyst Evaluation'!A1" display="Back to Scorecard" xr:uid="{1EED68A2-7306-4410-BCD6-552F19D3621B}"/>
    <hyperlink ref="F57" location="'Privacy Analyst Evaluation'!A1" display="Back to Scorecard" xr:uid="{14E0627B-E487-44E4-B6BD-71F7BE3606BD}"/>
    <hyperlink ref="F52" location="'Privacy Analyst Evaluation'!A1" display="Back to Scorecard" xr:uid="{89E54AE8-F912-4EF5-93C4-BAFBAC5571B2}"/>
    <hyperlink ref="F46" location="'Privacy Analyst Evaluation'!A1" display="Back to Scorecard" xr:uid="{6732EEEC-E41C-4D05-A8BB-7A6FDC560186}"/>
    <hyperlink ref="A10" r:id="rId1" display="http://www.educause.edu/HECVAT" xr:uid="{F4B2EBCC-D744-4488-8E73-490FA2185475}"/>
    <hyperlink ref="G22:G30" location="'Privacy Analyst Evaluation'!A47" display="'Privacy Analyst Evaluation'!A47" xr:uid="{1251A0D8-0A08-4A63-B905-D6DAFC387987}"/>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165CB4E-F7AA-436A-8B40-909F03E9D6F5}">
            <x14:dataBar minLength="0" maxLength="100" gradient="0" direction="leftToRight" axisPosition="none">
              <x14:cfvo type="num">
                <xm:f>0</xm:f>
              </x14:cfvo>
              <x14:cfvo type="num">
                <xm:f>1</xm:f>
              </x14:cfvo>
              <x14:negativeFillColor rgb="FFFF0000"/>
            </x14:dataBar>
          </x14:cfRule>
          <xm:sqref>F21:G31</xm:sqref>
        </x14:conditionalFormatting>
        <x14:conditionalFormatting xmlns:xm="http://schemas.microsoft.com/office/excel/2006/main">
          <x14:cfRule type="dataBar" id="{A6716C0F-3CA2-4D89-8D49-37B22DBD9D1F}">
            <x14:dataBar minLength="0" maxLength="100" gradient="0" direction="leftToRight" axisPosition="none">
              <x14:cfvo type="num">
                <xm:f>0</xm:f>
              </x14:cfvo>
              <x14:cfvo type="num">
                <xm:f>1</xm:f>
              </x14:cfvo>
              <x14:negativeFillColor rgb="FFFF0000"/>
            </x14:dataBar>
          </x14:cfRule>
          <xm:sqref>H31:I31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1CDF9FA-EF26-4CA9-9DED-D51F5F3EE73E}">
          <x14:formula1>
            <xm:f>'Auto Responses'!$J$7:$J$8</xm:f>
          </x14:formula1>
          <xm:sqref>H97:H111 H47:H51 H53:H56 H58:H60 H62:H63 H65:H66 H68:H75 H77:H89 H91:H95 H113:H120</xm:sqref>
        </x14:dataValidation>
        <x14:dataValidation type="list" allowBlank="1" showInputMessage="1" showErrorMessage="1" xr:uid="{C0805B23-116E-488E-B5C7-4B565A9E1283}">
          <x14:formula1>
            <xm:f>'Auto Responses'!$J$11:$J$14</xm:f>
          </x14:formula1>
          <xm:sqref>J97:J111 J47:J51 J53:J56 J58:J60 J62:J63 J65:J66 J68:J75 J77:J89 J91:J95 J113:J120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0A68-79C7-495B-8ACA-8313C2E55678}">
  <sheetPr>
    <tabColor rgb="FF7ECCA0"/>
  </sheetPr>
  <dimension ref="A1:F385"/>
  <sheetViews>
    <sheetView showZeros="0" topLeftCell="A23" zoomScale="80" zoomScaleNormal="80" workbookViewId="0">
      <selection activeCell="A37" sqref="A37"/>
    </sheetView>
  </sheetViews>
  <sheetFormatPr defaultColWidth="0" defaultRowHeight="15" zeroHeight="1" x14ac:dyDescent="0.25"/>
  <cols>
    <col min="1" max="1" width="11.1328125" style="55" customWidth="1"/>
    <col min="2" max="2" width="57.59765625" style="52" customWidth="1"/>
    <col min="3" max="3" width="71.1328125" style="53" customWidth="1"/>
    <col min="4" max="4" width="80.265625" style="54" customWidth="1"/>
    <col min="5" max="5" width="6.59765625" style="55" customWidth="1"/>
    <col min="6" max="6" width="0" style="55" hidden="1" customWidth="1"/>
    <col min="7" max="16384" width="6.59765625" style="55" hidden="1"/>
  </cols>
  <sheetData>
    <row r="1" spans="1:5" ht="180" hidden="1" x14ac:dyDescent="0.25">
      <c r="A1" s="55" t="s">
        <v>659</v>
      </c>
    </row>
    <row r="2" spans="1:5" ht="24.5" x14ac:dyDescent="0.3">
      <c r="A2" s="177" t="s">
        <v>660</v>
      </c>
      <c r="B2" s="177"/>
      <c r="C2" s="177"/>
      <c r="D2" s="264" t="s">
        <v>54</v>
      </c>
    </row>
    <row r="3" spans="1:5" ht="17.5" x14ac:dyDescent="0.3">
      <c r="A3" s="229" t="s">
        <v>661</v>
      </c>
      <c r="B3" s="65"/>
      <c r="C3" s="65"/>
      <c r="D3" s="265"/>
    </row>
    <row r="4" spans="1:5" ht="17.5" x14ac:dyDescent="0.3">
      <c r="A4" s="231" t="s">
        <v>662</v>
      </c>
      <c r="B4" s="65"/>
      <c r="C4" s="65"/>
      <c r="D4" s="265"/>
    </row>
    <row r="5" spans="1:5" s="233" customFormat="1" ht="17.5" x14ac:dyDescent="0.3">
      <c r="A5" s="232" t="s">
        <v>663</v>
      </c>
      <c r="B5" s="65"/>
      <c r="C5" s="65"/>
      <c r="D5" s="265"/>
    </row>
    <row r="6" spans="1:5" s="233" customFormat="1" ht="17.5" x14ac:dyDescent="0.3">
      <c r="A6" s="232" t="s">
        <v>664</v>
      </c>
      <c r="B6" s="65"/>
      <c r="C6" s="65"/>
      <c r="D6" s="266"/>
    </row>
    <row r="7" spans="1:5" ht="17.5" x14ac:dyDescent="0.3">
      <c r="A7" s="230" t="str">
        <f>VLOOKUP(LEFT($A8,4),'Auto Responses'!$N$4:$O$38,2,0)&amp;""</f>
        <v xml:space="preserve"> General Information</v>
      </c>
      <c r="B7" s="63"/>
      <c r="C7" s="56" t="str">
        <f>Questions!$S$2</f>
        <v>Reason for Question</v>
      </c>
      <c r="D7" s="56" t="str">
        <f>Questions!$T$2</f>
        <v>Follow-Up Inquiries/Responses</v>
      </c>
    </row>
    <row r="8" spans="1:5" x14ac:dyDescent="0.3">
      <c r="A8" s="57" t="s">
        <v>4</v>
      </c>
      <c r="B8" s="57" t="str">
        <f>VLOOKUP($A8,Questions!$A$3:$X$333,2,0)&amp;""</f>
        <v>Solution Provider Name</v>
      </c>
      <c r="C8" s="57" t="str">
        <f>VLOOKUP($A8,Questions!$A$3:$X$333,19,0)&amp;""</f>
        <v/>
      </c>
      <c r="D8" s="57" t="str">
        <f>VLOOKUP($A8,Questions!$A$3:$X$333,20,0)&amp;""</f>
        <v/>
      </c>
    </row>
    <row r="9" spans="1:5" x14ac:dyDescent="0.3">
      <c r="A9" s="57" t="s">
        <v>6</v>
      </c>
      <c r="B9" s="57" t="str">
        <f>VLOOKUP($A9,Questions!$A$3:$X$333,2,0)&amp;""</f>
        <v>Solution Name</v>
      </c>
      <c r="C9" s="57" t="str">
        <f>VLOOKUP($A9,Questions!$A$3:$X$333,19,0)&amp;""</f>
        <v/>
      </c>
      <c r="D9" s="57" t="str">
        <f>VLOOKUP($A9,Questions!$A$3:$X$333,20,0)&amp;""</f>
        <v/>
      </c>
    </row>
    <row r="10" spans="1:5" x14ac:dyDescent="0.3">
      <c r="A10" s="57" t="s">
        <v>8</v>
      </c>
      <c r="B10" s="57" t="str">
        <f>VLOOKUP($A10,Questions!$A$3:$X$333,2,0)&amp;""</f>
        <v>Solution Description</v>
      </c>
      <c r="C10" s="57" t="str">
        <f>VLOOKUP($A10,Questions!$A$3:$X$333,19,0)&amp;""</f>
        <v/>
      </c>
      <c r="D10" s="57" t="str">
        <f>VLOOKUP($A10,Questions!$A$3:$X$333,20,0)&amp;""</f>
        <v/>
      </c>
    </row>
    <row r="11" spans="1:5" x14ac:dyDescent="0.3">
      <c r="A11" s="57" t="s">
        <v>10</v>
      </c>
      <c r="B11" s="57" t="str">
        <f>VLOOKUP($A11,Questions!$A$3:$X$333,2,0)&amp;""</f>
        <v>Solution Provider Contact Name</v>
      </c>
      <c r="C11" s="57" t="str">
        <f>VLOOKUP($A11,Questions!$A$3:$X$333,19,0)&amp;""</f>
        <v/>
      </c>
      <c r="D11" s="57" t="str">
        <f>VLOOKUP($A11,Questions!$A$3:$X$333,20,0)&amp;""</f>
        <v/>
      </c>
    </row>
    <row r="12" spans="1:5" x14ac:dyDescent="0.3">
      <c r="A12" s="57" t="s">
        <v>12</v>
      </c>
      <c r="B12" s="57" t="str">
        <f>VLOOKUP($A12,Questions!$A$3:$X$333,2,0)&amp;""</f>
        <v>Solution Provider Contact Title</v>
      </c>
      <c r="C12" s="57" t="str">
        <f>VLOOKUP($A12,Questions!$A$3:$X$333,19,0)&amp;""</f>
        <v/>
      </c>
      <c r="D12" s="57" t="str">
        <f>VLOOKUP($A12,Questions!$A$3:$X$333,20,0)&amp;""</f>
        <v/>
      </c>
    </row>
    <row r="13" spans="1:5" x14ac:dyDescent="0.3">
      <c r="A13" s="57" t="s">
        <v>13</v>
      </c>
      <c r="B13" s="57" t="str">
        <f>VLOOKUP($A13,Questions!$A$3:$X$333,2,0)&amp;""</f>
        <v>Solution Provider Contact Email</v>
      </c>
      <c r="C13" s="57" t="str">
        <f>VLOOKUP($A13,Questions!$A$3:$X$333,19,0)&amp;""</f>
        <v/>
      </c>
      <c r="D13" s="57" t="str">
        <f>VLOOKUP($A13,Questions!$A$3:$X$333,20,0)&amp;""</f>
        <v/>
      </c>
    </row>
    <row r="14" spans="1:5" x14ac:dyDescent="0.3">
      <c r="A14" s="57" t="s">
        <v>15</v>
      </c>
      <c r="B14" s="57" t="str">
        <f>VLOOKUP($A14,Questions!$A$3:$X$333,2,0)&amp;""</f>
        <v>Solution Provider Contact Phone Number</v>
      </c>
      <c r="C14" s="57" t="str">
        <f>VLOOKUP($A14,Questions!$A$3:$X$333,19,0)&amp;""</f>
        <v/>
      </c>
      <c r="D14" s="57" t="str">
        <f>VLOOKUP($A14,Questions!$A$3:$X$333,20,0)&amp;""</f>
        <v/>
      </c>
    </row>
    <row r="15" spans="1:5" x14ac:dyDescent="0.3">
      <c r="A15" s="57" t="s">
        <v>17</v>
      </c>
      <c r="B15" s="57" t="str">
        <f>VLOOKUP($A15,Questions!$A$3:$X$333,2,0)&amp;""</f>
        <v>Country of Company Headquarters</v>
      </c>
      <c r="C15" s="57" t="str">
        <f>VLOOKUP($A15,Questions!$A$3:$X$333,19,0)&amp;""</f>
        <v/>
      </c>
      <c r="D15" s="57" t="str">
        <f>VLOOKUP($A15,Questions!$A$3:$X$333,20,0)&amp;""</f>
        <v/>
      </c>
    </row>
    <row r="16" spans="1:5" x14ac:dyDescent="0.25">
      <c r="A16" s="57" t="s">
        <v>19</v>
      </c>
      <c r="B16" s="57" t="str">
        <f>VLOOKUP($A16,Questions!$A$3:$X$333,2,0)&amp;""</f>
        <v>Employee Work Locations (all)</v>
      </c>
      <c r="C16" s="57" t="str">
        <f>VLOOKUP($A16,Questions!$A$3:$X$333,19,0)&amp;""</f>
        <v>Determines where solution provider employees will be physically located.</v>
      </c>
      <c r="D16" s="57" t="str">
        <f>VLOOKUP($A16,Questions!$A$3:$X$333,20,0)&amp;""</f>
        <v>Follow-up inquiries will be institution/implementation specific.</v>
      </c>
      <c r="E16" s="237" t="s">
        <v>665</v>
      </c>
    </row>
    <row r="17" spans="1:5" ht="17.5" x14ac:dyDescent="0.3">
      <c r="A17" s="63" t="str">
        <f>VLOOKUP(LEFT($A18,4),'Auto Responses'!$N$4:$O$38,2,0)&amp;""</f>
        <v xml:space="preserve"> Company Information</v>
      </c>
      <c r="B17" s="63"/>
      <c r="C17" s="56" t="str">
        <f>Questions!$S$2</f>
        <v>Reason for Question</v>
      </c>
      <c r="D17" s="56" t="str">
        <f>Questions!$T$2</f>
        <v>Follow-Up Inquiries/Responses</v>
      </c>
    </row>
    <row r="18" spans="1:5" ht="67.5" x14ac:dyDescent="0.3">
      <c r="A18" s="57" t="s">
        <v>25</v>
      </c>
      <c r="B18" s="57" t="str">
        <f>VLOOKUP($A18,Questions!$A$3:$X$333,2,0)&amp;""</f>
        <v>Do you have a dedicated software and system development team(s) (e.g., customer support, implementation, product management, etc.)?*</v>
      </c>
      <c r="C18" s="57" t="str">
        <f>VLOOKUP($A18,Questions!$A$3:$X$333,19,0)&amp;""</f>
        <v>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v>
      </c>
      <c r="D18" s="57" t="str">
        <f>VLOOKUP($A18,Questions!$A$3:$X$333,20,0)&amp;""</f>
        <v>Follow-up inquiries for solution provider team strategies will be unique to your institution and may depend on the underlying infrastructures needed to support a system for your specific use case.</v>
      </c>
    </row>
    <row r="19" spans="1:5" ht="43.5" customHeight="1" x14ac:dyDescent="0.3">
      <c r="A19" s="57" t="s">
        <v>28</v>
      </c>
      <c r="B19" s="57" t="str">
        <f>VLOOKUP($A19,Questions!$A$3:$X$333,2,0)&amp;""</f>
        <v>Describe your organization’s business background and ownership structure, including all parent and subsidiary relationships.</v>
      </c>
      <c r="C19" s="57" t="str">
        <f>VLOOKUP($A19,Questions!$A$3:$X$333,19,0)&amp;""</f>
        <v>This information defines the scale of company (support, resources, skillsets), general information about the organization that may be concerning.</v>
      </c>
      <c r="D19" s="57" t="str">
        <f>VLOOKUP($A19,Questions!$A$3:$X$333,20,0)&amp;""</f>
        <v>Follow-up responses to this one are normally unique to their response. Vague answers here usually result in some footprinting of a solution provider to determine their "reputation."</v>
      </c>
    </row>
    <row r="20" spans="1:5" ht="67.5" customHeight="1" x14ac:dyDescent="0.3">
      <c r="A20" s="57" t="s">
        <v>30</v>
      </c>
      <c r="B20" s="57" t="str">
        <f>VLOOKUP($A20,Questions!$A$3:$X$333,2,0)&amp;""</f>
        <v>Have you operated without unplanned disruptions to this solution in the past 12 months?</v>
      </c>
      <c r="C20" s="57" t="str">
        <f>VLOOKUP($A20,Questions!$A$3:$X$333,19,0)&amp;""</f>
        <v>We want transparency from the solution provider, and an honest answer to this question, regardless of the response, is a good step in building trust.</v>
      </c>
      <c r="D20" s="57" t="str">
        <f>VLOOKUP($A20,Questions!$A$3:$X$333,20,0)&amp;""</f>
        <v>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v>
      </c>
    </row>
    <row r="21" spans="1:5" ht="67.5" customHeight="1" x14ac:dyDescent="0.3">
      <c r="A21" s="57" t="s">
        <v>32</v>
      </c>
      <c r="B21" s="57" t="str">
        <f>VLOOKUP($A21,Questions!$A$3:$X$333,2,0)&amp;""</f>
        <v>Do you have a dedicated information security staff or office?</v>
      </c>
      <c r="C21" s="57" t="str">
        <f>VLOOKUP($A21,Questions!$A$3:$X$333,19,0)&amp;""</f>
        <v>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v>
      </c>
      <c r="D21" s="57" t="str">
        <f>VLOOKUP($A21,Questions!$A$3:$X$333,20,0)&amp;""</f>
        <v>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v>
      </c>
    </row>
    <row r="22" spans="1:5" ht="64.5" customHeight="1" x14ac:dyDescent="0.25">
      <c r="A22" s="57" t="s">
        <v>34</v>
      </c>
      <c r="B22" s="57" t="str">
        <f>VLOOKUP($A22,Questions!$A$3:$X$333,2,0)&amp;""</f>
        <v>Use this area to share information about your environment that will assist those who are assessing your company's data security program.</v>
      </c>
      <c r="C22" s="57" t="str">
        <f>VLOOKUP($A22,Questions!$A$3:$X$333,19,0)&amp;""</f>
        <v>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v>
      </c>
      <c r="D22" s="57" t="str">
        <f>VLOOKUP($A22,Questions!$A$3:$X$333,20,0)&amp;""</f>
        <v>This is a freebie to help the solution provider state their case. If a solution provider does not add anything here (or it is just sales stuff), we can assume it was filled out by a sales engineer and questions will be evaluated with higher scrutiny.</v>
      </c>
      <c r="E22" s="237" t="s">
        <v>665</v>
      </c>
    </row>
    <row r="23" spans="1:5" ht="17.5" x14ac:dyDescent="0.3">
      <c r="A23" s="63" t="str">
        <f>VLOOKUP(LEFT($A24,4),'Auto Responses'!$N$4:$O$38,2,0)&amp;""</f>
        <v xml:space="preserve"> Required Questions</v>
      </c>
      <c r="B23" s="63"/>
      <c r="C23" s="56" t="str">
        <f>Questions!$S$2</f>
        <v>Reason for Question</v>
      </c>
      <c r="D23" s="56" t="str">
        <f>Questions!$T$2</f>
        <v>Follow-Up Inquiries/Responses</v>
      </c>
    </row>
    <row r="24" spans="1:5" s="297" customFormat="1" ht="17.5" x14ac:dyDescent="0.3">
      <c r="A24" s="298" t="s">
        <v>666</v>
      </c>
      <c r="B24" s="295"/>
      <c r="C24" s="296"/>
      <c r="D24" s="296"/>
    </row>
    <row r="25" spans="1:5" ht="36.75" customHeight="1" x14ac:dyDescent="0.3">
      <c r="A25" s="57" t="s">
        <v>37</v>
      </c>
      <c r="B25" s="57" t="str">
        <f>VLOOKUP($A25,Questions!$A$3:$X$333,2,0)&amp;""</f>
        <v>Are you offering a cloud-based product?</v>
      </c>
      <c r="C25" s="57" t="s">
        <v>667</v>
      </c>
      <c r="D25" s="57" t="str">
        <f>VLOOKUP($A25,Questions!$A$3:$X$333,19,0)&amp;""</f>
        <v/>
      </c>
    </row>
    <row r="26" spans="1:5" ht="38.25" customHeight="1" x14ac:dyDescent="0.3">
      <c r="A26" s="57" t="s">
        <v>39</v>
      </c>
      <c r="B26" s="57" t="str">
        <f>VLOOKUP($A26,Questions!$A$3:$X$333,2,0)&amp;""</f>
        <v>Does your product or service have an interface?</v>
      </c>
      <c r="C26" s="57" t="s">
        <v>668</v>
      </c>
      <c r="D26" s="57" t="str">
        <f>VLOOKUP($A26,Questions!$A$3:$X$333,19,0)&amp;""</f>
        <v/>
      </c>
    </row>
    <row r="27" spans="1:5" x14ac:dyDescent="0.3">
      <c r="A27" s="57" t="s">
        <v>41</v>
      </c>
      <c r="B27" s="57" t="str">
        <f>VLOOKUP($A27,Questions!$A$3:$X$333,2,0)&amp;""</f>
        <v>Are you providing consulting services?</v>
      </c>
      <c r="C27" s="57" t="s">
        <v>669</v>
      </c>
      <c r="D27" s="57" t="str">
        <f>VLOOKUP($A27,Questions!$A$3:$X$333,19,0)&amp;""</f>
        <v/>
      </c>
    </row>
    <row r="28" spans="1:5" ht="27" x14ac:dyDescent="0.3">
      <c r="A28" s="57" t="s">
        <v>43</v>
      </c>
      <c r="B28" s="57" t="str">
        <f>VLOOKUP($A28,Questions!$A$3:$X$333,2,0)&amp;""</f>
        <v>Does your solution have AI features, or are there plans to implement AI features in the next 12 months?</v>
      </c>
      <c r="C28" s="57" t="s">
        <v>670</v>
      </c>
      <c r="D28" s="57" t="str">
        <f>VLOOKUP($A28,Questions!$A$3:$X$333,19,0)&amp;""</f>
        <v/>
      </c>
    </row>
    <row r="29" spans="1:5" ht="40.5" x14ac:dyDescent="0.3">
      <c r="A29" s="57" t="s">
        <v>45</v>
      </c>
      <c r="B29" s="57" t="str">
        <f>VLOOKUP($A29,Questions!$A$3:$X$333,2,0)&amp;""</f>
        <v>Does your solution process protected health information (PHI) or any data covered by the Health Insurance Portability and Accountability Act (HIPAA)?</v>
      </c>
      <c r="C29" s="57" t="s">
        <v>671</v>
      </c>
      <c r="D29" s="57" t="str">
        <f>VLOOKUP($A29,Questions!$A$3:$X$333,19,0)&amp;""</f>
        <v/>
      </c>
    </row>
    <row r="30" spans="1:5" ht="33.75" customHeight="1" x14ac:dyDescent="0.3">
      <c r="A30" s="57" t="s">
        <v>47</v>
      </c>
      <c r="B30" s="57" t="str">
        <f>VLOOKUP($A30,Questions!$A$3:$X$333,2,0)&amp;""</f>
        <v>Is the solution designed to process, store, or transmit credit card information?</v>
      </c>
      <c r="C30" s="57" t="s">
        <v>672</v>
      </c>
      <c r="D30" s="57" t="str">
        <f>VLOOKUP($A30,Questions!$A$3:$X$333,19,0)&amp;""</f>
        <v/>
      </c>
    </row>
    <row r="31" spans="1:5" ht="66.75" customHeight="1" x14ac:dyDescent="0.25">
      <c r="A31" s="57" t="s">
        <v>49</v>
      </c>
      <c r="B31" s="57" t="str">
        <f>VLOOKUP($A31,Questions!$A$3:$X$333,2,0)&amp;""</f>
        <v>Does operating your solution require the institution to operate a physical or virtual appliance in their own environment or to provide inbound firewall exceptions to allow your employees to remotely administer systems in the institution's environment?</v>
      </c>
      <c r="C31" s="57" t="s">
        <v>673</v>
      </c>
      <c r="D31" s="57" t="str">
        <f>VLOOKUP($A31,Questions!$A$3:$X$333,19,0)&amp;""</f>
        <v/>
      </c>
      <c r="E31" s="237" t="s">
        <v>665</v>
      </c>
    </row>
    <row r="32" spans="1:5" ht="17.5" x14ac:dyDescent="0.3">
      <c r="A32" s="63" t="str">
        <f>VLOOKUP(LEFT($A33,4),'Auto Responses'!$N$4:$O$38,2,0)&amp;""</f>
        <v xml:space="preserve"> Documentation</v>
      </c>
      <c r="B32" s="63"/>
      <c r="C32" s="56" t="str">
        <f>Questions!$S$2</f>
        <v>Reason for Question</v>
      </c>
      <c r="D32" s="56" t="str">
        <f>Questions!$T$2</f>
        <v>Follow-Up Inquiries/Responses</v>
      </c>
    </row>
    <row r="33" spans="1:5" ht="57" customHeight="1" x14ac:dyDescent="0.3">
      <c r="A33" s="57" t="s">
        <v>56</v>
      </c>
      <c r="B33" s="57" t="str">
        <f>VLOOKUP($A33,Questions!$A$3:$X$333,2,0)&amp;""</f>
        <v>Do you have a well-documented business continuity plan (BCP), with a clear owner, that is tested annually?*</v>
      </c>
      <c r="C33" s="57" t="str">
        <f>VLOOKUP($A33,Questions!$A$3:$X$333,19,0)&amp;""</f>
        <v>Testing a business continuity plan is an important action that improves the efficiency and accuracy of a solution provider's continuity plans. Vague responses to this question should be met with concern and appropriate follow-up, based on your institutions risk tolerance.</v>
      </c>
      <c r="D33" s="57" t="str">
        <f>VLOOKUP($A33,Questions!$A$3:$X$333,20,0)&amp;""</f>
        <v/>
      </c>
    </row>
    <row r="34" spans="1:5" ht="57" customHeight="1" x14ac:dyDescent="0.3">
      <c r="A34" s="57" t="s">
        <v>58</v>
      </c>
      <c r="B34" s="57" t="str">
        <f>VLOOKUP($A34,Questions!$A$3:$X$333,2,0)&amp;""</f>
        <v>Do you have a well-documented disaster recovery plan (DRP), with a clear owner, that is tested annually?*</v>
      </c>
      <c r="C34" s="57" t="str">
        <f>VLOOKUP($A34,Questions!$A$3:$X$333,19,0)&amp;""</f>
        <v>Testing a disaster recovery plan is an important action that improves the efficiency and accuracy of a solution provider's recovery plans. Vague responses to this question should be met with concern and appropriate follow-up, based on your institutions risk tolerance.</v>
      </c>
      <c r="D34" s="57" t="str">
        <f>VLOOKUP($A34,Questions!$A$3:$X$333,20,0)&amp;""</f>
        <v/>
      </c>
    </row>
    <row r="35" spans="1:5" ht="35.25" customHeight="1" x14ac:dyDescent="0.3">
      <c r="A35" s="57" t="s">
        <v>60</v>
      </c>
      <c r="B35" s="57" t="str">
        <f>VLOOKUP($A35,Questions!$A$3:$X$333,2,0)&amp;""</f>
        <v>Have you undergone a SSAE 18/SOC 2 audit?</v>
      </c>
      <c r="C35" s="57" t="str">
        <f>VLOOKUP($A35,Questions!$A$3:$X$333,19,0)&amp;""</f>
        <v>SSAE 18 and SOC2 audits are standard documentation, relevant to institutions requiring a solution provider to undergo SSAE 18 audits.</v>
      </c>
      <c r="D35" s="57" t="str">
        <f>VLOOKUP($A35,Questions!$A$3:$X$333,20,0)&amp;""</f>
        <v>Follow-up inquiries for SSAE 18 content will be institution/implementation specific.</v>
      </c>
    </row>
    <row r="36" spans="1:5" ht="54" x14ac:dyDescent="0.3">
      <c r="A36" s="57" t="s">
        <v>62</v>
      </c>
      <c r="B36" s="57" t="str">
        <f>VLOOKUP($A36,Questions!$A$3:$X$333,2,0)&amp;""</f>
        <v>Do you conform with a specific industry standard security framework (e.g., NIST Cybersecurity Framework, CIS Controls, ISO 27001, etc.)?</v>
      </c>
      <c r="C36" s="57" t="str">
        <f>VLOOKUP($A36,Questions!$A$3:$X$333,19,0)&amp;""</f>
        <v>The details of the standard are not the focus here; it is the fact that a solution provider builds their environment around a standard and that they continually evaluate and assess their security programs.</v>
      </c>
      <c r="D36" s="57" t="str">
        <f>VLOOKUP($A36,Questions!$A$3:$X$333,20,0)&amp;""</f>
        <v>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v>
      </c>
    </row>
    <row r="37" spans="1:5" ht="64.5" customHeight="1" x14ac:dyDescent="0.3">
      <c r="A37" s="57" t="s">
        <v>64</v>
      </c>
      <c r="B37" s="57" t="str">
        <f>VLOOKUP($A37,Questions!$A$3:$X$333,2,0)&amp;""</f>
        <v>Can you provide overall system and/or application architecture diagrams, including a full description of the data flow for all components of the system?</v>
      </c>
      <c r="C37" s="57" t="str">
        <f>VLOOKUP($A37,Questions!$A$3:$X$333,19,0)&amp;""</f>
        <v>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v>
      </c>
      <c r="D37" s="57" t="str">
        <f>VLOOKUP($A37,Questions!$A$3:$X$333,20,0)&amp;""</f>
        <v>Inquire about any privacy language the solution provider may have. It may not be ideal but there may be something available to assess or enough to have your legal counsel or policy/privacy professionals review.</v>
      </c>
    </row>
    <row r="38" spans="1:5" ht="63.75" customHeight="1" x14ac:dyDescent="0.3">
      <c r="A38" s="57" t="s">
        <v>65</v>
      </c>
      <c r="B38" s="57" t="str">
        <f>VLOOKUP($A38,Questions!$A$3:$X$333,2,0)&amp;""</f>
        <v>Does your organization have a data privacy policy?</v>
      </c>
      <c r="C38" s="57" t="str">
        <f>VLOOKUP($A38,Questions!$A$3:$X$333,19,0)&amp;""</f>
        <v>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v>
      </c>
      <c r="D38" s="57" t="str">
        <f>VLOOKUP($A38,Questions!$A$3:$X$333,20,0)&amp;""</f>
        <v>Inquire about any privacy language the solution provider may have. It may not be ideal but there may be something available to assess or enough to have your legal counsel or policy/privacy professionals review.</v>
      </c>
    </row>
    <row r="39" spans="1:5" ht="78" customHeight="1" x14ac:dyDescent="0.25">
      <c r="A39" s="57" t="s">
        <v>67</v>
      </c>
      <c r="B39" s="57" t="str">
        <f>VLOOKUP($A39,Questions!$A$3:$X$333,2,0)&amp;""</f>
        <v>Do you have a documented, and currently implemented, employee onboarding and offboarding policy?</v>
      </c>
      <c r="C39" s="57" t="str">
        <f>VLOOKUP($A39,Questions!$A$3:$X$333,19,0)&amp;""</f>
        <v>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v>
      </c>
      <c r="D39" s="57" t="str">
        <f>VLOOKUP($A39,Questions!$A$3:$X$333,20,0)&amp;""</f>
        <v>Unsatisfactory answers should be met with questions about access control authority, roles and responsibilities (of access grantors), administrative privileges within the solution provider's infrastructure(s), etc.</v>
      </c>
      <c r="E39" s="237" t="s">
        <v>665</v>
      </c>
    </row>
    <row r="40" spans="1:5" ht="17.5" x14ac:dyDescent="0.3">
      <c r="A40" s="63" t="str">
        <f>VLOOKUP(LEFT($A41,4),'Auto Responses'!$N$4:$O$38,2,0)&amp;""</f>
        <v xml:space="preserve"> Assessment of Third Parties</v>
      </c>
      <c r="B40" s="63"/>
      <c r="C40" s="56" t="str">
        <f>Questions!$S$2</f>
        <v>Reason for Question</v>
      </c>
      <c r="D40" s="56" t="str">
        <f>Questions!$T$2</f>
        <v>Follow-Up Inquiries/Responses</v>
      </c>
    </row>
    <row r="41" spans="1:5" ht="54" x14ac:dyDescent="0.3">
      <c r="A41" s="57" t="s">
        <v>69</v>
      </c>
      <c r="B41" s="57" t="str">
        <f>VLOOKUP($A41,Questions!$A$3:$X$333,2,0)&amp;""</f>
        <v>Do you perform security assessments of third-party companies with which you share data (e.g., hosting providers, cloud services, PaaS, IaaS, SaaS)?*</v>
      </c>
      <c r="C41" s="57" t="str">
        <f>VLOOKUP($A41,Questions!$A$3:$X$333,19,0)&amp;""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41" s="57" t="str">
        <f>VLOOKUP($A41,Questions!$A$3:$X$333,20,0)&amp;""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42" spans="1:5" ht="40.5" x14ac:dyDescent="0.3">
      <c r="A42" s="57" t="s">
        <v>71</v>
      </c>
      <c r="B42" s="57" t="str">
        <f>VLOOKUP($A42,Questions!$A$3:$X$333,2,0)&amp;""</f>
        <v>Do you have contractual language in place with third parties governing access to institutional data?*</v>
      </c>
      <c r="C42" s="57" t="str">
        <f>VLOOKUP($A42,Questions!$A$3:$X$333,19,0)&amp;""</f>
        <v>The sharing of institutional data to fourth-parties may increase the risk to the institution and thus, we want to know who gets what data, when they get that data, and why they get that data.</v>
      </c>
      <c r="D42" s="57" t="str">
        <f>VLOOKUP($A42,Questions!$A$3:$X$333,20,0)&amp;""</f>
        <v>Follow-up inquiries concerning third-party data sharing will be institution/implementation specific.</v>
      </c>
    </row>
    <row r="43" spans="1:5" ht="27" x14ac:dyDescent="0.3">
      <c r="A43" s="57" t="s">
        <v>73</v>
      </c>
      <c r="B43" s="57" t="str">
        <f>VLOOKUP($A43,Questions!$A$3:$X$333,2,0)&amp;""</f>
        <v>Do the contracts in place with these third parties address liability in the event of a data breach?*</v>
      </c>
      <c r="C43" s="57" t="str">
        <f>VLOOKUP($A43,Questions!$A$3:$X$333,19,0)&amp;""</f>
        <v>Knowing the protections and legal agreements in place for third-party data sharing may assist analysts in determining residual risk.</v>
      </c>
      <c r="D43" s="57" t="str">
        <f>VLOOKUP($A43,Questions!$A$3:$X$333,20,0)&amp;""</f>
        <v>Follow-up inquiries concerning legal agreements with third parties will be institution/implementation specific.</v>
      </c>
    </row>
    <row r="44" spans="1:5" ht="108" x14ac:dyDescent="0.3">
      <c r="A44" s="57" t="s">
        <v>75</v>
      </c>
      <c r="B44" s="57" t="str">
        <f>VLOOKUP($A44,Questions!$A$3:$X$333,2,0)&amp;""</f>
        <v>Do you have an implemented third-party management strategy?*</v>
      </c>
      <c r="C44" s="57" t="str">
        <f>VLOOKUP($A44,Questions!$A$3:$X$333,19,0)&amp;""</f>
        <v>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44" s="57" t="str">
        <f>VLOOKUP($A44,Questions!$A$3:$X$333,20,0)&amp;""</f>
        <v>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v>
      </c>
    </row>
    <row r="45" spans="1:5" ht="80.25" customHeight="1" x14ac:dyDescent="0.3">
      <c r="A45" s="57" t="s">
        <v>77</v>
      </c>
      <c r="B45" s="57" t="str">
        <f>VLOOKUP($A45,Questions!$A$3:$X$333,2,0)&amp;""</f>
        <v>Do you have a process and implemented procedures for managing your hardware supply chain (e.g., telecommunications equipment, export licensing, computing devices)?</v>
      </c>
      <c r="C45" s="57" t="str">
        <f>VLOOKUP($A45,Questions!$A$3:$X$333,19,0)&amp;""</f>
        <v>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45" s="57" t="str">
        <f>VLOOKUP($A45,Questions!$A$3:$X$333,20,0)&amp;""</f>
        <v>Follow-up inquiries concerning hardware supply chain will be institution/implementation specific.</v>
      </c>
    </row>
    <row r="46" spans="1:5" ht="17.5" x14ac:dyDescent="0.3">
      <c r="A46" s="63" t="str">
        <f>VLOOKUP(LEFT($A47,4),'Auto Responses'!$N$4:$O$38,2,0)&amp;""</f>
        <v xml:space="preserve"> Change Management</v>
      </c>
      <c r="B46" s="63"/>
      <c r="C46" s="56" t="str">
        <f>Questions!$S$2</f>
        <v>Reason for Question</v>
      </c>
      <c r="D46" s="56" t="str">
        <f>Questions!$T$2</f>
        <v>Follow-Up Inquiries/Responses</v>
      </c>
    </row>
    <row r="47" spans="1:5" ht="55.5" customHeight="1" x14ac:dyDescent="0.3">
      <c r="A47" s="57" t="s">
        <v>79</v>
      </c>
      <c r="B47" s="57" t="str">
        <f>VLOOKUP($A47,Questions!$A$3:$X$333,2,0)&amp;""</f>
        <v>Will the institution be notified of major changes to your environment that could impact the institution's security posture?*</v>
      </c>
      <c r="C47" s="57" t="str">
        <f>VLOOKUP($A47,Questions!$A$3:$X$333,19,0)&amp;""</f>
        <v>Notification expectations should be set earlier in the contract/assessment process. Timelines, correspondence medium, and playbook details are all aspects to keep in mind when assessing this response.</v>
      </c>
      <c r="D47" s="57" t="str">
        <f>VLOOKUP($A47,Questions!$A$3:$X$333,20,0)&amp;""</f>
        <v>If the solution provider's response does not cover the details outlined in the reasoning, follow up and get specific responses for each, as needed.</v>
      </c>
    </row>
    <row r="48" spans="1:5" ht="40.5" x14ac:dyDescent="0.3">
      <c r="A48" s="57" t="s">
        <v>81</v>
      </c>
      <c r="B48" s="57" t="str">
        <f>VLOOKUP($A48,Questions!$A$3:$X$333,2,0)&amp;""</f>
        <v>Does the system support client customizations from one release to another?*</v>
      </c>
      <c r="C48" s="57" t="str">
        <f>VLOOKUP($A48,Questions!$A$3:$X$333,19,0)&amp;""</f>
        <v>The solution provider's solution characteristics and the institution's use case will determine the relevancy of this question. The purpose of this question is to understand the underlying infrastructure and how it is maintained across all customers.</v>
      </c>
      <c r="D48" s="57" t="str">
        <f>VLOOKUP($A48,Questions!$A$3:$X$333,20,0)&amp;""</f>
        <v>In cases where the solution is customized for customer use cases, ensure the solution provider's response covers all aspects of code migration, including backups, data conversions, local resources from the institution, etc., as it relates to code upgrades and/or version adoptions.</v>
      </c>
    </row>
    <row r="49" spans="1:5" ht="59.25" customHeight="1" x14ac:dyDescent="0.3">
      <c r="A49" s="57" t="s">
        <v>83</v>
      </c>
      <c r="B49" s="57" t="str">
        <f>VLOOKUP($A49,Questions!$A$3:$X$333,2,0)&amp;""</f>
        <v>Do you have an implemented system configuration management process (e.g., secure "gold" images, etc.)?*</v>
      </c>
      <c r="C49" s="57" t="str">
        <f>VLOOKUP($A49,Questions!$A$3:$X$333,19,0)&amp;""</f>
        <v>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v>
      </c>
      <c r="D49" s="57" t="str">
        <f>VLOOKUP($A49,Questions!$A$3:$X$333,20,0)&amp;""</f>
        <v>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v>
      </c>
    </row>
    <row r="50" spans="1:5" ht="40.5" x14ac:dyDescent="0.3">
      <c r="A50" s="57" t="s">
        <v>85</v>
      </c>
      <c r="B50" s="57" t="str">
        <f>VLOOKUP($A50,Questions!$A$3:$X$333,2,0)&amp;""</f>
        <v>Do you have a documented change management process?</v>
      </c>
      <c r="C50" s="57" t="str">
        <f>VLOOKUP($A50,Questions!$A$3:$X$333,19,0)&amp;""</f>
        <v>The lack of a change management function is indicative of immature program processes. Answers to this question can provide insight into how well their responses (on the HECVAT) represent their actual environment(s).</v>
      </c>
      <c r="D50" s="57" t="str">
        <f>VLOOKUP($A50,Questions!$A$3:$X$333,20,0)&amp;""</f>
        <v>If a weak response is given to this answer, response scrutiny should be increased. Questions about configuration management, system authority, and documentation are appropriate.</v>
      </c>
    </row>
    <row r="51" spans="1:5" ht="44.25" customHeight="1" x14ac:dyDescent="0.3">
      <c r="A51" s="57" t="s">
        <v>87</v>
      </c>
      <c r="B51" s="57" t="str">
        <f>VLOOKUP($A51,Questions!$A$3:$X$333,2,0)&amp;""</f>
        <v>Does your change management process minimally include authorization, impact analysis, testing, and validation before moving changes to production?</v>
      </c>
      <c r="C51" s="57" t="str">
        <f>VLOOKUP($A51,Questions!$A$3:$X$333,19,0)&amp;""</f>
        <v>This question outlines a mature change management process. Changes should be analyzed for impact, officially approved, tested, and performed by authorized users.</v>
      </c>
      <c r="D51" s="57" t="str">
        <f>VLOOKUP($A51,Questions!$A$3:$X$333,20,0)&amp;""</f>
        <v>If the solution provider's response does not cover the details outlined in the reasoning, follow up and get specific responses, as needed.</v>
      </c>
    </row>
    <row r="52" spans="1:5" ht="51" customHeight="1" x14ac:dyDescent="0.3">
      <c r="A52" s="57" t="s">
        <v>89</v>
      </c>
      <c r="B52" s="57" t="str">
        <f>VLOOKUP($A52,Questions!$A$3:$X$333,2,0)&amp;""</f>
        <v>Does your change management process verify that all required third-party libraries and dependencies are still supported with each major change?</v>
      </c>
      <c r="C52" s="57" t="str">
        <f>VLOOKUP($A52,Questions!$A$3:$X$333,19,0)&amp;""</f>
        <v>This question is fundamentally about supply chain. The solution provider should be able to document its procedures around tracking libraries maintained by third parties.</v>
      </c>
      <c r="D52" s="57" t="str">
        <f>VLOOKUP($A52,Questions!$A$3:$X$333,20,0)&amp;""</f>
        <v>If the solution provider's response does not cover the details outlined in the reasoning, follow-up and get specific responses for each, as needed.</v>
      </c>
    </row>
    <row r="53" spans="1:5" ht="39" customHeight="1" x14ac:dyDescent="0.3">
      <c r="A53" s="57" t="s">
        <v>90</v>
      </c>
      <c r="B53" s="57" t="str">
        <f>VLOOKUP($A53,Questions!$A$3:$X$333,2,0)&amp;""</f>
        <v>Do you have policy and procedure, currently implemented, managing how critical patches are applied to all systems and applications?</v>
      </c>
      <c r="C53" s="57" t="str">
        <f>VLOOKUP($A53,Questions!$A$3:$X$333,19,0)&amp;""</f>
        <v>Answers to this question will reveal the solution provider’s knowledge of their IT assets and their ability to respond to notifications about their systems and software.</v>
      </c>
      <c r="D53" s="57" t="str">
        <f>VLOOKUP($A53,Questions!$A$3:$X$333,20,0)&amp;""</f>
        <v>Follow-up inquiries for the solution provider’s patching practices will be institution/implementation specific.</v>
      </c>
    </row>
    <row r="54" spans="1:5" ht="63.75" customHeight="1" x14ac:dyDescent="0.3">
      <c r="A54" s="57" t="s">
        <v>91</v>
      </c>
      <c r="B54" s="57" t="str">
        <f>VLOOKUP($A54,Questions!$A$3:$X$333,2,0)&amp;""</f>
        <v>Have you implemented policies and procedures that guide how security risks are mitigated until patches can be applied?</v>
      </c>
      <c r="C54" s="57" t="str">
        <f>VLOOKUP($A54,Questions!$A$3:$X$333,19,0)&amp;""</f>
        <v>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v>
      </c>
      <c r="D54" s="57" t="str">
        <f>VLOOKUP($A54,Questions!$A$3:$X$333,20,0)&amp;""</f>
        <v>Follow-up inquiries for the solution providers patching practices will be institution/implementation specific.</v>
      </c>
    </row>
    <row r="55" spans="1:5" ht="71.25" customHeight="1" x14ac:dyDescent="0.3">
      <c r="A55" s="57" t="s">
        <v>93</v>
      </c>
      <c r="B55" s="57" t="str">
        <f>VLOOKUP($A55,Questions!$A$3:$X$333,2,0)&amp;""</f>
        <v>Do clients have the option to not participate in or postpone an upgrade to a new release?</v>
      </c>
      <c r="C55" s="57" t="str">
        <f>VLOOKUP($A55,Questions!$A$3:$X$333,19,0)&amp;""</f>
        <v>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v>
      </c>
      <c r="D55" s="57" t="str">
        <f>VLOOKUP($A55,Questions!$A$3:$X$333,20,0)&amp;""</f>
        <v>Follow-up inquiries for solution version releases will be institution/implementation specific.</v>
      </c>
    </row>
    <row r="56" spans="1:5" ht="51" customHeight="1" x14ac:dyDescent="0.3">
      <c r="A56" s="57" t="s">
        <v>95</v>
      </c>
      <c r="B56" s="57" t="str">
        <f>VLOOKUP($A56,Questions!$A$3:$X$333,2,0)&amp;""</f>
        <v>Do you have a fully implemented solution support strategy that defines how many concurrent versions you support?</v>
      </c>
      <c r="C56" s="57" t="str">
        <f>VLOOKUP($A56,Questions!$A$3:$X$333,19,0)&amp;""</f>
        <v>Supporting multiple versions of a solution is challenging. Understanding the solution provider’s strategy and resources will provide insight into its ability to adequately support their customers.</v>
      </c>
      <c r="D56" s="57" t="str">
        <f>VLOOKUP($A56,Questions!$A$3:$X$333,20,0)&amp;""</f>
        <v>Follow-up inquiries for the solution provider’s support of concurrent versions will be institution/implementation specific.</v>
      </c>
    </row>
    <row r="57" spans="1:5" ht="52.5" customHeight="1" x14ac:dyDescent="0.3">
      <c r="A57" s="57" t="s">
        <v>97</v>
      </c>
      <c r="B57" s="57" t="str">
        <f>VLOOKUP($A57,Questions!$A$3:$X$333,2,0)&amp;""</f>
        <v>Do you have a release schedule for product updates?</v>
      </c>
      <c r="C57" s="57" t="str">
        <f>VLOOKUP($A57,Questions!$A$3:$X$333,19,0)&amp;""</f>
        <v>Answers to this question will reveal the solution provider’s ability to plan in the short term. This is valuable information for customers so they can anticipate updates and potential bug fixes.</v>
      </c>
      <c r="D57" s="57" t="str">
        <f>VLOOKUP($A57,Questions!$A$3:$X$333,20,0)&amp;""</f>
        <v>Follow-up inquiries for the solution provider’s solution update practices will be institution/implementation specific.</v>
      </c>
    </row>
    <row r="58" spans="1:5" ht="27" x14ac:dyDescent="0.25">
      <c r="A58" s="57" t="s">
        <v>99</v>
      </c>
      <c r="B58" s="57" t="str">
        <f>VLOOKUP($A58,Questions!$A$3:$X$333,2,0)&amp;""</f>
        <v>Do you have a technology roadmap, for at least the next two years, for enhancements and bug fixes for the solution being assessed?</v>
      </c>
      <c r="C58" s="57" t="str">
        <f>VLOOKUP($A58,Questions!$A$3:$X$333,19,0)&amp;""</f>
        <v>Answers to this question will reveal the solution provider’s ability to plan for the future of their solution.</v>
      </c>
      <c r="D58" s="57" t="str">
        <f>VLOOKUP($A58,Questions!$A$3:$X$333,20,0)&amp;""</f>
        <v>Follow-up inquiries for the solution provider’s technology planning practices will be institution/implementation specific.</v>
      </c>
      <c r="E58" s="237" t="s">
        <v>665</v>
      </c>
    </row>
    <row r="59" spans="1:5" ht="67.5" x14ac:dyDescent="0.3">
      <c r="A59" s="57" t="s">
        <v>101</v>
      </c>
      <c r="B59" s="57" t="str">
        <f>VLOOKUP($A59,Questions!$A$3:$X$333,2,0)&amp;""</f>
        <v>Can solution updates be completed without institutional involvement (i.e., technically or organizationally)?</v>
      </c>
      <c r="C59" s="57" t="str">
        <f>VLOOKUP($A59,Questions!$A$3:$X$333,19,0)&amp;""</f>
        <v>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v>
      </c>
      <c r="D59" s="57" t="str">
        <f>VLOOKUP($A59,Questions!$A$3:$X$333,20,0)&amp;""</f>
        <v>Vague responses to this question should be investigated further. Ask for additional documentation for customer responsibilities (in the context of information technology/security).</v>
      </c>
    </row>
    <row r="60" spans="1:5" ht="65.25" customHeight="1" x14ac:dyDescent="0.3">
      <c r="A60" s="57" t="s">
        <v>103</v>
      </c>
      <c r="B60" s="57" t="str">
        <f>VLOOKUP($A60,Questions!$A$3:$X$333,2,0)&amp;""</f>
        <v>Are upgrades or system changes installed during off-peak hours or in a manner that does not impact the customer?</v>
      </c>
      <c r="C60" s="57" t="str">
        <f>VLOOKUP($A60,Questions!$A$3:$X$333,19,0)&amp;""</f>
        <v>Restricting system updates to a standard maintenance timeframe is important for ensuring that changes to production systems do not impact operations. It’s also important for troubleshooting any problems that may occur as a result of the changes.</v>
      </c>
      <c r="D60" s="57" t="str">
        <f>VLOOKUP($A60,Questions!$A$3:$X$333,20,0)&amp;""</f>
        <v>If the solution provider's response does not cover the details outlined in the reasoning, follow up and get specific responses, as needed.</v>
      </c>
    </row>
    <row r="61" spans="1:5" ht="52.5" customHeight="1" x14ac:dyDescent="0.3">
      <c r="A61" s="57" t="s">
        <v>105</v>
      </c>
      <c r="B61" s="57" t="str">
        <f>VLOOKUP($A61,Questions!$A$3:$X$333,2,0)&amp;""</f>
        <v>Do procedures exist to provide that emergency changes are documented and authorized (including after-the-fact approval)?</v>
      </c>
      <c r="C61" s="57" t="str">
        <f>VLOOKUP($A61,Questions!$A$3:$X$333,19,0)&amp;""</f>
        <v>In the context of the CIA triad, this question is focused on system integrity, ensuring that system changes are only executed by authorized users. In the event of emergency changes, accountability and post-action review are expected.</v>
      </c>
      <c r="D61" s="57" t="str">
        <f>VLOOKUP($A61,Questions!$A$3:$X$333,20,0)&amp;""</f>
        <v>Follow up with a robust question set if a solution provider cannot clearly state full control of the integrity of their system(s).</v>
      </c>
    </row>
    <row r="62" spans="1:5" ht="66.75" customHeight="1" x14ac:dyDescent="0.3">
      <c r="A62" s="57" t="s">
        <v>107</v>
      </c>
      <c r="B62" s="57" t="str">
        <f>VLOOKUP($A62,Questions!$A$3:$X$333,2,0)&amp;""</f>
        <v>Do you have a systems management and configuration strategy that encompasses servers, appliances, cloud services, applications, and mobile devices (company and employee owned)?</v>
      </c>
      <c r="C62" s="57" t="str">
        <f>VLOOKUP($A62,Questions!$A$3:$X$333,19,0)&amp;""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62" s="57" t="str">
        <f>VLOOKUP($A62,Questions!$A$3:$X$333,20,0)&amp;""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63" spans="1:5" ht="17.5" x14ac:dyDescent="0.3">
      <c r="A63" s="63" t="str">
        <f>VLOOKUP(LEFT($A64,4),'Auto Responses'!$N$4:$O$38,2,0)&amp;""</f>
        <v xml:space="preserve"> Policies, Processes, and Procedures</v>
      </c>
      <c r="B63" s="63"/>
      <c r="C63" s="56" t="str">
        <f>Questions!$S$2</f>
        <v>Reason for Question</v>
      </c>
      <c r="D63" s="56" t="str">
        <f>Questions!$T$2</f>
        <v>Follow-Up Inquiries/Responses</v>
      </c>
    </row>
    <row r="64" spans="1:5" ht="75" customHeight="1" x14ac:dyDescent="0.25">
      <c r="A64" s="57" t="s">
        <v>109</v>
      </c>
      <c r="B64" s="57" t="str">
        <f>VLOOKUP($A64,Questions!$A$3:$X$333,2,0)&amp;""</f>
        <v>Do you have a documented patch management process?*</v>
      </c>
      <c r="C64" s="57" t="str">
        <f>VLOOKUP($A64,Questions!$A$3:$X$333,19,0)&amp;""</f>
        <v>In the context of the CIA triad, this question is focused on system integrity, ensuring that system changes are only executed according to policy. Additionally, it is expected that devices used to access the solution provider's systems are properly managed and secured.</v>
      </c>
      <c r="D64" s="57" t="str">
        <f>VLOOKUP($A64,Questions!$A$3:$X$333,20,0)&amp;""</f>
        <v>Follow up with a robust question set if the solution provider cannot clearly state full control of their system patching strategy. Questions about patch testing, testing environments, threat mitigation, incident remediation, etc., are appropriate.</v>
      </c>
      <c r="E64" s="237" t="s">
        <v>665</v>
      </c>
    </row>
    <row r="65" spans="1:5" ht="49.5" customHeight="1" x14ac:dyDescent="0.3">
      <c r="A65" s="57" t="s">
        <v>111</v>
      </c>
      <c r="B65" s="57" t="str">
        <f>VLOOKUP($A65,Questions!$A$3:$X$333,2,0)&amp;""</f>
        <v>Can your organization comply with institutional policies on privacy and data protection with regard to users of institutional systems, if required?*</v>
      </c>
      <c r="C65" s="57" t="str">
        <f>VLOOKUP($A65,Questions!$A$3:$X$333,19,0)&amp;""</f>
        <v>This is a general inquiry to determine if the solution provider has reviewed the institution's policies and is committed to complying with them.</v>
      </c>
      <c r="D65" s="57" t="str">
        <f>VLOOKUP($A65,Questions!$A$3:$X$333,20,0)&amp;""</f>
        <v>If a solution provider is vague in their response, follow up with direct questions about the institution's policies and ensure the expectation of compliance is clear with the solution provider.</v>
      </c>
    </row>
    <row r="66" spans="1:5" ht="51" customHeight="1" x14ac:dyDescent="0.3">
      <c r="A66" s="57" t="s">
        <v>113</v>
      </c>
      <c r="B66" s="57" t="str">
        <f>VLOOKUP($A66,Questions!$A$3:$X$333,2,0)&amp;""</f>
        <v>Is your company subject to the institution's geographic region's laws and regulations?*</v>
      </c>
      <c r="C66" s="57" t="str">
        <f>VLOOKUP($A66,Questions!$A$3:$X$333,19,0)&amp;""</f>
        <v>This is a general inquiry to determine if the solution provider is well-versed in applicable laws and regulations that apply in the institution's region of business operation.</v>
      </c>
      <c r="D66" s="57" t="str">
        <f>VLOOKUP($A66,Questions!$A$3:$X$333,20,0)&amp;""</f>
        <v>If a solution provider is vague in their response, follow up with direct questions about doing business in your state/region/country and any laws that are pertinent to the institution.</v>
      </c>
    </row>
    <row r="67" spans="1:5" ht="70.5" customHeight="1" x14ac:dyDescent="0.3">
      <c r="A67" s="57" t="s">
        <v>115</v>
      </c>
      <c r="B67" s="57" t="str">
        <f>VLOOKUP($A67,Questions!$A$3:$X$333,2,0)&amp;""</f>
        <v>Can you accommodate encryption requirements using open standards?</v>
      </c>
      <c r="C67" s="57" t="str">
        <f>VLOOKUP($A67,Questions!$A$3:$X$333,19,0)&amp;""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67" s="57" t="str">
        <f>VLOOKUP($A67,Questions!$A$3:$X$333,20,0)&amp;""</f>
        <v>If the solution provider cannot accommodate open standards encryption requirements, direct them to NIST's Cryptographic Standards and Guidelines document &lt;https://csrc.nist.gov/Projects/Cryptographic-Standards-and-Guidelines&gt;.</v>
      </c>
    </row>
    <row r="68" spans="1:5" ht="40.5" x14ac:dyDescent="0.3">
      <c r="A68" s="57" t="s">
        <v>117</v>
      </c>
      <c r="B68" s="57" t="str">
        <f>VLOOKUP($A68,Questions!$A$3:$X$333,2,0)&amp;""</f>
        <v>Do you have a documented systems development life cycle (SDLC)?</v>
      </c>
      <c r="C68" s="57" t="str">
        <f>VLOOKUP($A68,Questions!$A$3:$X$333,19,0)&amp;""</f>
        <v>Mature solution lifecycle management can position a solution provider to sufficiently plan, implement, and manage systems that better protect institutional data.</v>
      </c>
      <c r="D68" s="57" t="str">
        <f>VLOOKUP($A68,Questions!$A$3:$X$333,20,0)&amp;""</f>
        <v>Although withdrawn by NIST, the Security Considerations in the Systems Development Life Cycle (SP 800-64r2) document is an excellent resource to provide guidance to solution providers (i.e., set expectations). Follow-up questions to SDLC use will be institution/implementation specific.</v>
      </c>
    </row>
    <row r="69" spans="1:5" ht="65.25" customHeight="1" x14ac:dyDescent="0.3">
      <c r="A69" s="57" t="s">
        <v>119</v>
      </c>
      <c r="B69" s="57" t="str">
        <f>VLOOKUP($A69,Questions!$A$3:$X$333,2,0)&amp;""</f>
        <v>Do you perform background screenings or multi-state background checks on all employees prior to their first day of work?</v>
      </c>
      <c r="C69" s="57" t="str">
        <f>VLOOKUP($A69,Questions!$A$3:$X$333,19,0)&amp;""</f>
        <v>The use of detective and preventive controls in the hiring process serves a valuable role in protecting institutional data. As these are often HR documented policies, a solution provider should have their practices well-documented and ready for review, upon request.</v>
      </c>
      <c r="D69" s="57" t="str">
        <f>VLOOKUP($A69,Questions!$A$3:$X$333,20,0)&amp;""</f>
        <v>Ask the solution provider if background checks and/or screening are conducted in any capacity, at any time during the employment period. Ask about the precautions they take to ensure the intellectual property is secured and inquire if user data is treated in an appropriate manner.</v>
      </c>
    </row>
    <row r="70" spans="1:5" ht="71.25" customHeight="1" x14ac:dyDescent="0.3">
      <c r="A70" s="57" t="s">
        <v>121</v>
      </c>
      <c r="B70" s="57" t="str">
        <f>VLOOKUP($A70,Questions!$A$3:$X$333,2,0)&amp;""</f>
        <v>Do you require new employees to fill out agreements and review policies?</v>
      </c>
      <c r="C70" s="57" t="str">
        <f>VLOOKUP($A70,Questions!$A$3:$X$333,19,0)&amp;""</f>
        <v>Setting the expectation of performance and increasing awareness of security-related responsibilities are part of these initial-hiring documents. Oftentimes these agreements and reviews are conducted during orientation for new employees.</v>
      </c>
      <c r="D70" s="57" t="str">
        <f>VLOOKUP($A70,Questions!$A$3:$X$333,20,0)&amp;""</f>
        <v>If a solution provider's practices are not clear, inquire about training requirements for employees, especially the frequency and scope of content.</v>
      </c>
    </row>
    <row r="71" spans="1:5" ht="121.5" x14ac:dyDescent="0.3">
      <c r="A71" s="57" t="s">
        <v>123</v>
      </c>
      <c r="B71" s="57" t="str">
        <f>VLOOKUP($A71,Questions!$A$3:$X$333,2,0)&amp;""</f>
        <v>Do you have a documented information security policy?</v>
      </c>
      <c r="C71" s="57" t="str">
        <f>VLOOKUP($A71,Questions!$A$3:$X$333,19,0)&amp;""</f>
        <v>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v>
      </c>
      <c r="D71" s="57" t="str">
        <f>VLOOKUP($A71,Questions!$A$3:$X$333,20,0)&amp;""</f>
        <v>If the solution provider does not have an incident response plan, point them to the NIST Computer Security Incident Handling Guide &lt;https://csrc.nist.gov/publications/detail/sp/800-61/rev-2/final&gt;.</v>
      </c>
    </row>
    <row r="72" spans="1:5" s="59" customFormat="1" ht="67.5" customHeight="1" x14ac:dyDescent="0.3">
      <c r="A72" s="57" t="s">
        <v>125</v>
      </c>
      <c r="B72" s="57" t="str">
        <f>VLOOKUP($A72,Questions!$A$3:$X$333,2,0)&amp;""</f>
        <v>Are information security principles designed into the product lifecycle?</v>
      </c>
      <c r="C72" s="57" t="str">
        <f>VLOOKUP($A72,Questions!$A$3:$X$333,19,0)&amp;""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72" s="57" t="str">
        <f>VLOOKUP($A72,Questions!$A$3:$X$333,20,0)&amp;""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73" spans="1:5" ht="62.25" customHeight="1" x14ac:dyDescent="0.3">
      <c r="A73" s="57" t="s">
        <v>127</v>
      </c>
      <c r="B73" s="57" t="str">
        <f>VLOOKUP($A73,Questions!$A$3:$X$333,2,0)&amp;""</f>
        <v>Will you comply with applicable breach notification laws?</v>
      </c>
      <c r="C73" s="57" t="str">
        <f>VLOOKUP($A73,Questions!$A$3:$X$333,19,0)&amp;""</f>
        <v>This is a general inquiry to determine if the solution provider is well-versed in applicable laws and regulations that apply in the institution's region of business operation.</v>
      </c>
      <c r="D73" s="57" t="str">
        <f>VLOOKUP($A73,Questions!$A$3:$X$333,20,0)&amp;""</f>
        <v>If a solution provider is vague in their response, follow up with direct questions about doing business in your state/region/country and any laws that are pertinent to the institution.</v>
      </c>
    </row>
    <row r="74" spans="1:5" s="59" customFormat="1" ht="70.5" customHeight="1" x14ac:dyDescent="0.25">
      <c r="A74" s="57" t="s">
        <v>129</v>
      </c>
      <c r="B74" s="57" t="str">
        <f>VLOOKUP($A74,Questions!$A$3:$X$333,2,0)&amp;""</f>
        <v>Do you have an information security awareness program?</v>
      </c>
      <c r="C74" s="57" t="str">
        <f>VLOOKUP($A74,Questions!$A$3:$X$333,19,0)&amp;""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4" s="57" t="str">
        <f>VLOOKUP($A74,Questions!$A$3:$X$333,20,0)&amp;""</f>
        <v>Follow-up inquiries for information security awareness programs will be institution/implementation specific.</v>
      </c>
      <c r="E74" s="237" t="s">
        <v>665</v>
      </c>
    </row>
    <row r="75" spans="1:5" ht="54" x14ac:dyDescent="0.3">
      <c r="A75" s="57" t="s">
        <v>131</v>
      </c>
      <c r="B75" s="57" t="str">
        <f>VLOOKUP($A75,Questions!$A$3:$X$333,2,0)&amp;""</f>
        <v>Is security awareness training mandatory for all employees?</v>
      </c>
      <c r="C75" s="57" t="str">
        <f>VLOOKUP($A75,Questions!$A$3:$X$333,19,0)&amp;""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5" s="57" t="str">
        <f>VLOOKUP($A75,Questions!$A$3:$X$333,20,0)&amp;""</f>
        <v>Follow-up inquiries for information security awareness programs will be institution/implementation specific.</v>
      </c>
    </row>
    <row r="76" spans="1:5" ht="72" customHeight="1" x14ac:dyDescent="0.3">
      <c r="A76" s="57" t="s">
        <v>133</v>
      </c>
      <c r="B76" s="57" t="str">
        <f>VLOOKUP($A76,Questions!$A$3:$X$333,2,0)&amp;""</f>
        <v>Do you have process and procedure(s) documented, and currently followed, that require a review and update of the access list(s) for privileged accounts?</v>
      </c>
      <c r="C76" s="57" t="str">
        <f>VLOOKUP($A76,Questions!$A$3:$X$333,19,0)&amp;""</f>
        <v>Protecting privileged accounts is crucial to maintaining system integrity in any environment. This question is targeting privilege creep and unmanaged privileged accounts to determine if the solution provider properly manages access control in their application/system environments.</v>
      </c>
      <c r="D76" s="57" t="str">
        <f>VLOOKUP($A76,Questions!$A$3:$X$333,20,0)&amp;""</f>
        <v>Ask the solution provider to summarize their implemented policies and/or procedures.</v>
      </c>
    </row>
    <row r="77" spans="1:5" ht="72" customHeight="1" x14ac:dyDescent="0.3">
      <c r="A77" s="57" t="s">
        <v>135</v>
      </c>
      <c r="B77" s="57" t="str">
        <f>VLOOKUP($A77,Questions!$A$3:$X$333,2,0)&amp;""</f>
        <v>Do you have documented, and currently implemented, internal audit processes and procedures?</v>
      </c>
      <c r="C77" s="57" t="str">
        <f>VLOOKUP($A77,Questions!$A$3:$X$333,19,0)&amp;""</f>
        <v>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v>
      </c>
      <c r="D77" s="57" t="str">
        <f>VLOOKUP($A77,Questions!$A$3:$X$333,20,0)&amp;""</f>
        <v>Follow-up inquiries for internal audit processes and procedures will be institution/implementation specific.</v>
      </c>
    </row>
    <row r="78" spans="1:5" ht="54.75" customHeight="1" x14ac:dyDescent="0.3">
      <c r="A78" s="57" t="s">
        <v>137</v>
      </c>
      <c r="B78" s="57" t="str">
        <f>VLOOKUP($A78,Questions!$A$3:$X$333,2,0)&amp;""</f>
        <v>Does your organization have physical security controls and policies in place?</v>
      </c>
      <c r="C78" s="57" t="str">
        <f>VLOOKUP($A78,Questions!$A$3:$X$333,19,0)&amp;""</f>
        <v>This question aims to understand the physical security state of the solution provider's operating environment and whether or not physical assets are appropriately protected.</v>
      </c>
      <c r="D78" s="57" t="str">
        <f>VLOOKUP($A78,Questions!$A$3:$X$333,20,0)&amp;""</f>
        <v>Follow-up inquiries for physical security controls and policies will be institution/implementation specific.</v>
      </c>
    </row>
    <row r="79" spans="1:5" ht="17.5" x14ac:dyDescent="0.3">
      <c r="A79" s="63" t="str">
        <f>VLOOKUP(LEFT($A80,4),'Auto Responses'!$N$4:$O$38,2,0)&amp;""</f>
        <v xml:space="preserve"> Authentication, Authorization, and Account Management</v>
      </c>
      <c r="B79" s="63"/>
      <c r="C79" s="56" t="str">
        <f>Questions!$S$2</f>
        <v>Reason for Question</v>
      </c>
      <c r="D79" s="56" t="str">
        <f>Questions!$T$2</f>
        <v>Follow-Up Inquiries/Responses</v>
      </c>
    </row>
    <row r="80" spans="1:5" ht="75" customHeight="1" x14ac:dyDescent="0.3">
      <c r="A80" s="57" t="s">
        <v>140</v>
      </c>
      <c r="B80" s="57" t="str">
        <f>VLOOKUP($A80,Questions!$A$3:$X$333,2,0)&amp;""</f>
        <v>Does your solution support single sign-on (SSO) protocols for user and administrator authentication?*</v>
      </c>
      <c r="C80" s="57" t="str">
        <f>VLOOKUP($A80,Questions!$A$3:$X$333,19,0)&amp;""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80" s="57" t="str">
        <f>VLOOKUP($A80,Questions!$A$3:$X$333,20,0)&amp;""</f>
        <v>Follow-up inquiries for IAM requirements will be institution/implementation specific.</v>
      </c>
    </row>
    <row r="81" spans="1:5" ht="67.5" customHeight="1" x14ac:dyDescent="0.3">
      <c r="A81" s="57" t="s">
        <v>142</v>
      </c>
      <c r="B81" s="57" t="str">
        <f>VLOOKUP($A81,Questions!$A$3:$X$333,2,0)&amp;""</f>
        <v>For customers not using SSO, does your solution support local authentication protocols for user and administrator authentication?*</v>
      </c>
      <c r="C81" s="57" t="str">
        <f>VLOOKUP($A81,Questions!$A$3:$X$333,19,0)&amp;""</f>
        <v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v>
      </c>
      <c r="D81" s="57" t="str">
        <f>VLOOKUP($A81,Questions!$A$3:$X$333,20,0)&amp;""</f>
        <v>The content of this response may or may not have value for the type of use case on the institution. Follow-up inquiries for authentication modes will be institution/implementation specific.</v>
      </c>
    </row>
    <row r="82" spans="1:5" s="59" customFormat="1" ht="53.25" customHeight="1" x14ac:dyDescent="0.3">
      <c r="A82" s="57" t="s">
        <v>144</v>
      </c>
      <c r="B82" s="57" t="str">
        <f>VLOOKUP($A82,Questions!$A$3:$X$333,2,0)&amp;""</f>
        <v>For customers not using SSO, can you enforce password/passphrase complexity requirements (provided by the institution)?*</v>
      </c>
      <c r="C82" s="57" t="str">
        <f>VLOOKUP($A82,Questions!$A$3:$X$333,19,0)&amp;""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2" s="57" t="str">
        <f>VLOOKUP($A82,Questions!$A$3:$X$333,20,0)&amp;""</f>
        <v>Follow-up inquiries for password/passphrase complexity requirements will be institution/implementation specific.</v>
      </c>
    </row>
    <row r="83" spans="1:5" ht="59.25" customHeight="1" x14ac:dyDescent="0.3">
      <c r="A83" s="57" t="s">
        <v>146</v>
      </c>
      <c r="B83" s="57" t="str">
        <f>VLOOKUP($A83,Questions!$A$3:$X$333,2,0)&amp;""</f>
        <v>For customers not using SSO, does the system have password complexity or length limitations and/or restrictions?*</v>
      </c>
      <c r="C83" s="57" t="str">
        <f>VLOOKUP($A83,Questions!$A$3:$X$333,19,0)&amp;""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3" s="57" t="str">
        <f>VLOOKUP($A83,Questions!$A$3:$X$333,20,0)&amp;""</f>
        <v>Follow-up inquiries for password/passphrase limitations and/or restrictions will be institution/implementation specific.</v>
      </c>
    </row>
    <row r="84" spans="1:5" ht="72.75" customHeight="1" x14ac:dyDescent="0.3">
      <c r="A84" s="57" t="s">
        <v>148</v>
      </c>
      <c r="B84" s="57" t="str">
        <f>VLOOKUP($A84,Questions!$A$3:$X$333,2,0)&amp;""</f>
        <v>For customers not using SSO, do you have documented password/passphrase reset procedures that are currently implemented in the system and/or customer support?*</v>
      </c>
      <c r="C84" s="57" t="str">
        <f>VLOOKUP($A84,Questions!$A$3:$X$333,19,0)&amp;""</f>
        <v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v>
      </c>
      <c r="D84" s="57" t="str">
        <f>VLOOKUP($A84,Questions!$A$3:$X$333,20,0)&amp;""</f>
        <v>Ask the solution provider how end users will be supported. Ask for training documentation or knowledgebase content. Confirm solution provider and institution responsibilities in this support area (and others).</v>
      </c>
    </row>
    <row r="85" spans="1:5" ht="63" customHeight="1" x14ac:dyDescent="0.3">
      <c r="A85" s="57" t="s">
        <v>150</v>
      </c>
      <c r="B85" s="57" t="str">
        <f>VLOOKUP($A85,Questions!$A$3:$X$333,2,0)&amp;""</f>
        <v>Does your organization participate in InCommon or another eduGAIN-affiliated trust federation?*</v>
      </c>
      <c r="C85" s="57" t="str">
        <f>VLOOKUP($A85,Questions!$A$3:$X$333,19,0)&amp;""</f>
        <v>This question defines the solution provider's scope of federated identity practices and their willingness to embrace higher education requirements.</v>
      </c>
      <c r="D85" s="57" t="str">
        <f>VLOOKUP($A85,Questions!$A$3:$X$333,20,0)&amp;""</f>
        <v>If a solution provider indicates that a system is stand-alone and cannot integrate with community standards, follow up with maturity questions and ask about other commodity type functions or other system requirements your institution may have.</v>
      </c>
      <c r="E85" s="51"/>
    </row>
    <row r="86" spans="1:5" ht="52.5" customHeight="1" x14ac:dyDescent="0.3">
      <c r="A86" s="57" t="s">
        <v>152</v>
      </c>
      <c r="B86" s="57" t="str">
        <f>VLOOKUP($A86,Questions!$A$3:$X$333,2,0)&amp;""</f>
        <v>Are there any passwords/passphrases hard-coded into your systems or solutions?*</v>
      </c>
      <c r="C86" s="57" t="str">
        <f>VLOOKUP($A86,Questions!$A$3:$X$333,19,0)&amp;""</f>
        <v>The response to this question can reveal the use (or not) of coding best practices. If passwords/passphrases are hard-coded into systems/productions, the solution provider should provide robust details supporting why this is required.</v>
      </c>
      <c r="D86" s="57" t="str">
        <f>VLOOKUP($A86,Questions!$A$3:$X$333,20,0)&amp;""</f>
        <v>Vague responses to this question should be met with concern. Repeat the question if the first answer is insufficient. Ask pointedly to ensure the solution provider is not misunderstanding.</v>
      </c>
      <c r="E86" s="58"/>
    </row>
    <row r="87" spans="1:5" ht="55.5" customHeight="1" x14ac:dyDescent="0.3">
      <c r="A87" s="57" t="s">
        <v>154</v>
      </c>
      <c r="B87" s="57" t="str">
        <f>VLOOKUP($A87,Questions!$A$3:$X$333,2,0)&amp;""</f>
        <v>Are you storing any passwords in plaintext?*</v>
      </c>
      <c r="C87" s="57" t="str">
        <f>VLOOKUP($A87,Questions!$A$3:$X$333,19,0)&amp;""</f>
        <v>The focus of this question is confidentiality. It is a straightforward question confirming the encryption of user authentication details.</v>
      </c>
      <c r="D87" s="57" t="str">
        <f>VLOOKUP($A87,Questions!$A$3:$X$333,20,0)&amp;""</f>
        <v>Follow-up inquiries for password/passphrase encrypted storage will be institution/implementation specific.</v>
      </c>
    </row>
    <row r="88" spans="1:5" ht="58.5" customHeight="1" x14ac:dyDescent="0.3">
      <c r="A88" s="57" t="s">
        <v>155</v>
      </c>
      <c r="B88" s="57" t="str">
        <f>VLOOKUP($A88,Questions!$A$3:$X$333,2,0)&amp;""</f>
        <v>Are audit logs available that include AT LEAST all of the following: login, logout, actions performed, and source IP address?*</v>
      </c>
      <c r="C88" s="57" t="str">
        <f>VLOOKUP($A88,Questions!$A$3:$X$333,19,0)&amp;""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88" s="57" t="str">
        <f>VLOOKUP($A88,Questions!$A$3:$X$333,20,0)&amp;""</f>
        <v>If a weak response is given, it is appropriate to ask directed questions to get specific information. Ensure that questions are targeted to ensure responses will come from the appropriate party within the solution provider.</v>
      </c>
    </row>
    <row r="89" spans="1:5" ht="89.25" customHeight="1" x14ac:dyDescent="0.25">
      <c r="A89" s="57" t="s">
        <v>157</v>
      </c>
      <c r="B89" s="57" t="str">
        <f>VLOOKUP($A89,Questions!$A$3:$X$333,2,0)&amp;""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89" s="57" t="str">
        <f>VLOOKUP($A89,Questions!$A$3:$X$333,19,0)&amp;""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v>
      </c>
      <c r="D89" s="57" t="str">
        <f>VLOOKUP($A89,Questions!$A$3:$X$333,20,0)&amp;""</f>
        <v>If a weak response is given, it is appropriate to ask directed questions to get specific information. Ensure that questions are targeted to ensure responses will come from the appropriate party within the solution provider.</v>
      </c>
      <c r="E89" s="237" t="s">
        <v>665</v>
      </c>
    </row>
    <row r="90" spans="1:5" ht="69.75" customHeight="1" x14ac:dyDescent="0.3">
      <c r="A90" s="57" t="s">
        <v>159</v>
      </c>
      <c r="B90" s="57" t="str">
        <f>VLOOKUP($A90,Questions!$A$3:$X$333,2,0)&amp;""</f>
        <v>Can you provide the institution documentation regarding the retention period for those logs, how logs are protected, and whether they are accessible to the customer (and if so, how)?*</v>
      </c>
      <c r="C90" s="57" t="str">
        <f>VLOOKUP($A90,Questions!$A$3:$X$333,19,0)&amp;""</f>
        <v>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v>
      </c>
      <c r="D90" s="57" t="str">
        <f>VLOOKUP($A90,Questions!$A$3:$X$333,20,0)&amp;""</f>
        <v>Follow-up inquiries for logging details will be institution/implementation specific.</v>
      </c>
    </row>
    <row r="91" spans="1:5" ht="78" customHeight="1" x14ac:dyDescent="0.3">
      <c r="A91" s="57" t="s">
        <v>161</v>
      </c>
      <c r="B91" s="57" t="str">
        <f>VLOOKUP($A91,Questions!$A$3:$X$333,2,0)&amp;""</f>
        <v>For customers not using SSO, does your application support integration with other authentication and authorization systems?</v>
      </c>
      <c r="C91" s="57" t="str">
        <f>VLOOKUP($A91,Questions!$A$3:$X$333,19,0)&amp;""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91" s="57" t="str">
        <f>VLOOKUP($A91,Questions!$A$3:$X$333,20,0)&amp;""</f>
        <v>If a solution provider indicates that a system is stand-alone and cannot integrate with the institution's infrastructure, follow up with maturity questions and ask about other commodity type functions or other system requirements your institution may have.</v>
      </c>
    </row>
    <row r="92" spans="1:5" ht="46.5" customHeight="1" x14ac:dyDescent="0.3">
      <c r="A92" s="57" t="s">
        <v>163</v>
      </c>
      <c r="B92" s="57" t="str">
        <f>VLOOKUP($A92,Questions!$A$3:$X$333,2,0)&amp;""</f>
        <v>Do you allow the customer to specify attribute mappings for any needed information beyond a user identifier? (e.g., Reference eduPerson, ePPA/ePPN/ePE)</v>
      </c>
      <c r="C92" s="57" t="str">
        <f>VLOOKUP($A92,Questions!$A$3:$X$333,19,0)&amp;""</f>
        <v>This questions allows an institution to know solution provider system limitations and to help them gauge the resources (that may be needed to implement) required to successfully integrate the solution with institution systems.</v>
      </c>
      <c r="D92" s="57" t="str">
        <f>VLOOKUP($A92,Questions!$A$3:$X$333,20,0)&amp;""</f>
        <v>Follow-up inquiries for attribute mapping requirements will be institution/implementation specific.</v>
      </c>
    </row>
    <row r="93" spans="1:5" ht="67.5" x14ac:dyDescent="0.3">
      <c r="A93" s="57" t="s">
        <v>164</v>
      </c>
      <c r="B93" s="57" t="str">
        <f>VLOOKUP($A93,Questions!$A$3:$X$333,2,0)&amp;""</f>
        <v>For customers not using SSO, does your application support directory integration for user accounts?</v>
      </c>
      <c r="C93" s="57" t="str">
        <f>VLOOKUP($A93,Questions!$A$3:$X$333,19,0)&amp;""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93" s="57" t="str">
        <f>VLOOKUP($A93,Questions!$A$3:$X$333,20,0)&amp;""</f>
        <v>Follow-up inquiries for system authentication will be unique to your institution (e.g., policy, infrastructure, etc.).</v>
      </c>
    </row>
    <row r="94" spans="1:5" ht="54" x14ac:dyDescent="0.3">
      <c r="A94" s="57" t="s">
        <v>166</v>
      </c>
      <c r="B94" s="57" t="str">
        <f>VLOOKUP($A94,Questions!$A$3:$X$333,2,0)&amp;""</f>
        <v>Does your solution support any of the following web SSO standards: SAML2 (with redirect flow), OIDC, CAS, or other?</v>
      </c>
      <c r="C94" s="57" t="str">
        <f>VLOOKUP($A94,Questions!$A$3:$X$333,19,0)&amp;""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94" s="57" t="str">
        <f>VLOOKUP($A94,Questions!$A$3:$X$333,20,0)&amp;""</f>
        <v>Follow-up inquiries for IAM requirements will be institution/implementation specific.</v>
      </c>
    </row>
    <row r="95" spans="1:5" ht="57" customHeight="1" x14ac:dyDescent="0.3">
      <c r="A95" s="57" t="s">
        <v>168</v>
      </c>
      <c r="B95" s="57" t="str">
        <f>VLOOKUP($A95,Questions!$A$3:$X$333,2,0)&amp;""</f>
        <v>Do you support differentiation between email address and user identifier?</v>
      </c>
      <c r="C95" s="57" t="str">
        <f>VLOOKUP($A95,Questions!$A$3:$X$333,19,0)&amp;""</f>
        <v>This questions allows an institution to know solution provider system limitations and to help them gauge the resources (that may be needed to implement) required to successfully integrate the solution with institution systems.</v>
      </c>
      <c r="D95" s="57" t="str">
        <f>VLOOKUP($A95,Questions!$A$3:$X$333,20,0)&amp;""</f>
        <v>Follow-up inquiries for identifier requirements will be institution/implementation specific.</v>
      </c>
    </row>
    <row r="96" spans="1:5" ht="67.5" customHeight="1" x14ac:dyDescent="0.3">
      <c r="A96" s="57" t="s">
        <v>169</v>
      </c>
      <c r="B96" s="57" t="str">
        <f>VLOOKUP($A96,Questions!$A$3:$X$333,2,0)&amp;""</f>
        <v>For customers not using SSO, does your application and/or user frontend/portal support multifactor authentication (e.g., Duo, Google Authenticator, OTP, etc.)?</v>
      </c>
      <c r="C96" s="57" t="str">
        <f>VLOOKUP($A96,Questions!$A$3:$X$333,19,0)&amp;""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96" s="57" t="str">
        <f>VLOOKUP($A96,Questions!$A$3:$X$333,20,0)&amp;""</f>
        <v>Ask the solution provider about hardware and software options, future roadmap for implementations and support, etc.</v>
      </c>
    </row>
    <row r="97" spans="1:5" ht="27" x14ac:dyDescent="0.3">
      <c r="A97" s="57" t="s">
        <v>171</v>
      </c>
      <c r="B97" s="57" t="str">
        <f>VLOOKUP($A97,Questions!$A$3:$X$333,2,0)&amp;""</f>
        <v>Does your application automatically lock the session or log out an account after a period of inactivity?</v>
      </c>
      <c r="C97" s="57" t="str">
        <f>VLOOKUP($A97,Questions!$A$3:$X$333,19,0)&amp;""</f>
        <v>This is a question to ensure account integrity and institutional data confidentiality.</v>
      </c>
      <c r="D97" s="57" t="str">
        <f>VLOOKUP($A97,Questions!$A$3:$X$333,20,0)&amp;""</f>
        <v>Follow-up inquiries for inactivity protections will be institution/implementation specific.</v>
      </c>
    </row>
    <row r="98" spans="1:5" ht="35.25" customHeight="1" x14ac:dyDescent="0.3">
      <c r="A98" s="57" t="s">
        <v>154</v>
      </c>
      <c r="B98" s="57" t="str">
        <f>VLOOKUP($A98,Questions!$A$3:$X$333,2,0)&amp;""</f>
        <v>Are you storing any passwords in plaintext?*</v>
      </c>
      <c r="C98" s="57" t="str">
        <f>VLOOKUP($A98,Questions!$A$3:$X$333,19,0)&amp;""</f>
        <v>The focus of this question is confidentiality. It is a straightforward question confirming the encryption of user authentication details.</v>
      </c>
      <c r="D98" s="57" t="str">
        <f>VLOOKUP($A98,Questions!$A$3:$X$333,20,0)&amp;""</f>
        <v>Follow-up inquiries for password/passphrase encrypted storage will be institution/implementation specific.</v>
      </c>
    </row>
    <row r="99" spans="1:5" ht="72.75" customHeight="1" x14ac:dyDescent="0.3">
      <c r="A99" s="57" t="s">
        <v>155</v>
      </c>
      <c r="B99" s="57" t="str">
        <f>VLOOKUP($A99,Questions!$A$3:$X$333,2,0)&amp;""</f>
        <v>Are audit logs available that include AT LEAST all of the following: login, logout, actions performed, and source IP address?*</v>
      </c>
      <c r="C99" s="57" t="str">
        <f>VLOOKUP($A99,Questions!$A$3:$X$333,19,0)&amp;""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99" s="57" t="str">
        <f>VLOOKUP($A99,Questions!$A$3:$X$333,20,0)&amp;""</f>
        <v>If a weak response is given, it is appropriate to ask directed questions to get specific information. Ensure that questions are targeted to ensure responses will come from the appropriate party within the solution provider.</v>
      </c>
    </row>
    <row r="100" spans="1:5" ht="92.25" customHeight="1" x14ac:dyDescent="0.3">
      <c r="A100" s="57" t="s">
        <v>157</v>
      </c>
      <c r="B100" s="57" t="str">
        <f>VLOOKUP($A100,Questions!$A$3:$X$333,2,0)&amp;""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00" s="57" t="str">
        <f>VLOOKUP($A100,Questions!$A$3:$X$333,19,0)&amp;""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v>
      </c>
      <c r="D100" s="57" t="str">
        <f>VLOOKUP($A100,Questions!$A$3:$X$333,20,0)&amp;""</f>
        <v>If a weak response is given, it is appropriate to ask directed questions to get specific information. Ensure that questions are targeted to ensure responses will come from the appropriate party within the solution provider.</v>
      </c>
    </row>
    <row r="101" spans="1:5" ht="65.25" customHeight="1" x14ac:dyDescent="0.3">
      <c r="A101" s="57" t="s">
        <v>159</v>
      </c>
      <c r="B101" s="57" t="str">
        <f>VLOOKUP($A101,Questions!$A$3:$X$333,2,0)&amp;""</f>
        <v>Can you provide the institution documentation regarding the retention period for those logs, how logs are protected, and whether they are accessible to the customer (and if so, how)?*</v>
      </c>
      <c r="C101" s="57" t="str">
        <f>VLOOKUP($A101,Questions!$A$3:$X$333,19,0)&amp;""</f>
        <v>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v>
      </c>
      <c r="D101" s="57" t="str">
        <f>VLOOKUP($A101,Questions!$A$3:$X$333,20,0)&amp;""</f>
        <v>Follow-up inquiries for logging details will be institution/implementation specific.</v>
      </c>
    </row>
    <row r="102" spans="1:5" ht="77.25" customHeight="1" x14ac:dyDescent="0.3">
      <c r="A102" s="57" t="s">
        <v>161</v>
      </c>
      <c r="B102" s="57" t="str">
        <f>VLOOKUP($A102,Questions!$A$3:$X$333,2,0)&amp;""</f>
        <v>For customers not using SSO, does your application support integration with other authentication and authorization systems?</v>
      </c>
      <c r="C102" s="57" t="str">
        <f>VLOOKUP($A102,Questions!$A$3:$X$333,19,0)&amp;""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102" s="57" t="str">
        <f>VLOOKUP($A102,Questions!$A$3:$X$333,20,0)&amp;""</f>
        <v>If a solution provider indicates that a system is stand-alone and cannot integrate with the institution's infrastructure, follow up with maturity questions and ask about other commodity type functions or other system requirements your institution may have.</v>
      </c>
    </row>
    <row r="103" spans="1:5" ht="57.75" customHeight="1" x14ac:dyDescent="0.3">
      <c r="A103" s="57" t="s">
        <v>163</v>
      </c>
      <c r="B103" s="57" t="str">
        <f>VLOOKUP($A103,Questions!$A$3:$X$333,2,0)&amp;""</f>
        <v>Do you allow the customer to specify attribute mappings for any needed information beyond a user identifier? (e.g., Reference eduPerson, ePPA/ePPN/ePE)</v>
      </c>
      <c r="C103" s="57" t="str">
        <f>VLOOKUP($A103,Questions!$A$3:$X$333,19,0)&amp;""</f>
        <v>This questions allows an institution to know solution provider system limitations and to help them gauge the resources (that may be needed to implement) required to successfully integrate the solution with institution systems.</v>
      </c>
      <c r="D103" s="57" t="str">
        <f>VLOOKUP($A103,Questions!$A$3:$X$333,20,0)&amp;""</f>
        <v>Follow-up inquiries for attribute mapping requirements will be institution/implementation specific.</v>
      </c>
      <c r="E103" s="51"/>
    </row>
    <row r="104" spans="1:5" ht="74.25" customHeight="1" x14ac:dyDescent="0.3">
      <c r="A104" s="57" t="s">
        <v>164</v>
      </c>
      <c r="B104" s="57" t="str">
        <f>VLOOKUP($A104,Questions!$A$3:$X$333,2,0)&amp;""</f>
        <v>For customers not using SSO, does your application support directory integration for user accounts?</v>
      </c>
      <c r="C104" s="57" t="str">
        <f>VLOOKUP($A104,Questions!$A$3:$X$333,19,0)&amp;""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104" s="57" t="str">
        <f>VLOOKUP($A104,Questions!$A$3:$X$333,20,0)&amp;""</f>
        <v>Follow-up inquiries for system authentication will be unique to your institution (e.g., policy, infrastructure, etc.).</v>
      </c>
    </row>
    <row r="105" spans="1:5" ht="67.5" customHeight="1" x14ac:dyDescent="0.3">
      <c r="A105" s="57" t="s">
        <v>166</v>
      </c>
      <c r="B105" s="57" t="str">
        <f>VLOOKUP($A105,Questions!$A$3:$X$333,2,0)&amp;""</f>
        <v>Does your solution support any of the following web SSO standards: SAML2 (with redirect flow), OIDC, CAS, or other?</v>
      </c>
      <c r="C105" s="57" t="str">
        <f>VLOOKUP($A105,Questions!$A$3:$X$333,19,0)&amp;""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105" s="57" t="str">
        <f>VLOOKUP($A105,Questions!$A$3:$X$333,20,0)&amp;""</f>
        <v>Follow-up inquiries for IAM requirements will be institution/implementation specific.</v>
      </c>
    </row>
    <row r="106" spans="1:5" ht="52.5" customHeight="1" x14ac:dyDescent="0.3">
      <c r="A106" s="57" t="s">
        <v>168</v>
      </c>
      <c r="B106" s="57" t="str">
        <f>VLOOKUP($A106,Questions!$A$3:$X$333,2,0)&amp;""</f>
        <v>Do you support differentiation between email address and user identifier?</v>
      </c>
      <c r="C106" s="57" t="str">
        <f>VLOOKUP($A106,Questions!$A$3:$X$333,19,0)&amp;""</f>
        <v>This questions allows an institution to know solution provider system limitations and to help them gauge the resources (that may be needed to implement) required to successfully integrate the solution with institution systems.</v>
      </c>
      <c r="D106" s="57" t="str">
        <f>VLOOKUP($A106,Questions!$A$3:$X$333,20,0)&amp;""</f>
        <v>Follow-up inquiries for identifier requirements will be institution/implementation specific.</v>
      </c>
    </row>
    <row r="107" spans="1:5" ht="63.75" customHeight="1" x14ac:dyDescent="0.3">
      <c r="A107" s="57" t="s">
        <v>169</v>
      </c>
      <c r="B107" s="57" t="str">
        <f>VLOOKUP($A107,Questions!$A$3:$X$333,2,0)&amp;""</f>
        <v>For customers not using SSO, does your application and/or user frontend/portal support multifactor authentication (e.g., Duo, Google Authenticator, OTP, etc.)?</v>
      </c>
      <c r="C107" s="57" t="str">
        <f>VLOOKUP($A107,Questions!$A$3:$X$333,19,0)&amp;""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107" s="57" t="str">
        <f>VLOOKUP($A107,Questions!$A$3:$X$333,20,0)&amp;""</f>
        <v>Ask the solution provider about hardware and software options, future roadmap for implementations and support, etc.</v>
      </c>
    </row>
    <row r="108" spans="1:5" ht="36.75" customHeight="1" x14ac:dyDescent="0.25">
      <c r="A108" s="57" t="s">
        <v>171</v>
      </c>
      <c r="B108" s="57" t="str">
        <f>VLOOKUP($A108,Questions!$A$3:$X$333,2,0)&amp;""</f>
        <v>Does your application automatically lock the session or log out an account after a period of inactivity?</v>
      </c>
      <c r="C108" s="57" t="str">
        <f>VLOOKUP($A108,Questions!$A$3:$X$333,19,0)&amp;""</f>
        <v>This is a question to ensure account integrity and institutional data confidentiality.</v>
      </c>
      <c r="D108" s="57" t="str">
        <f>VLOOKUP($A108,Questions!$A$3:$X$333,20,0)&amp;""</f>
        <v>Follow-up inquiries for inactivity protections will be institution/implementation specific.</v>
      </c>
      <c r="E108" s="237" t="s">
        <v>665</v>
      </c>
    </row>
    <row r="109" spans="1:5" ht="17.5" x14ac:dyDescent="0.3">
      <c r="A109" s="63" t="str">
        <f>VLOOKUP(LEFT($A110,4),'Auto Responses'!$N$4:$O$38,2,0)&amp;""</f>
        <v xml:space="preserve"> Data</v>
      </c>
      <c r="B109" s="63"/>
      <c r="C109" s="56" t="str">
        <f>Questions!$S$2</f>
        <v>Reason for Question</v>
      </c>
      <c r="D109" s="56" t="str">
        <f>Questions!$T$2</f>
        <v>Follow-Up Inquiries/Responses</v>
      </c>
    </row>
    <row r="110" spans="1:5" ht="51" customHeight="1" x14ac:dyDescent="0.3">
      <c r="A110" s="57" t="s">
        <v>173</v>
      </c>
      <c r="B110" s="57" t="str">
        <f>VLOOKUP($A110,Questions!$A$3:$X$333,2,0)&amp;""</f>
        <v>Will the institution's data be stored on any devices (database servers, file servers, SAN, NAS, etc.) configured with non-RFC 1918/4193 (i.e., publicly routable) IP addresses?*</v>
      </c>
      <c r="C110" s="57" t="str">
        <f>VLOOKUP($A110,Questions!$A$3:$X$333,19,0)&amp;""</f>
        <v>Systems that are directly exposed to public internet resources are at greater risk than those that are not. Understanding the requirements for this configuration is important, particularly when assessing compensating controls.</v>
      </c>
      <c r="D110" s="57" t="str">
        <f>VLOOKUP($A110,Questions!$A$3:$X$333,20,0)&amp;""</f>
        <v>Ask the solution provider about its infrastructure and if there is a solution that eliminates the need for this environment.</v>
      </c>
    </row>
    <row r="111" spans="1:5" ht="57" customHeight="1" x14ac:dyDescent="0.3">
      <c r="A111" s="57" t="s">
        <v>175</v>
      </c>
      <c r="B111" s="57" t="str">
        <f>VLOOKUP($A111,Questions!$A$3:$X$333,2,0)&amp;""</f>
        <v>Is the transport of sensitive data encrypted using security protocols/algorithms (e.g., system-to-client)?*</v>
      </c>
      <c r="C111" s="57" t="str">
        <f>VLOOKUP($A111,Questions!$A$3:$X$333,19,0)&amp;""</f>
        <v>The need for encryption in transport is unique to your institution's implementation of a system. In particular, the data flow between the system and the end users of the solution.</v>
      </c>
      <c r="D111" s="57" t="str">
        <f>VLOOKUP($A111,Questions!$A$3:$X$333,20,0)&amp;""</f>
        <v>Follow-up inquiries for data encryption between the system and end-users will be institution/implementation specific.</v>
      </c>
    </row>
    <row r="112" spans="1:5" ht="75.75" customHeight="1" x14ac:dyDescent="0.3">
      <c r="A112" s="57" t="s">
        <v>177</v>
      </c>
      <c r="B112" s="57" t="str">
        <f>VLOOKUP($A112,Questions!$A$3:$X$333,2,0)&amp;""</f>
        <v>Is the storage of sensitive data encrypted using security protocols/algorithms (e.g., disk encryption, at-rest, files, and within a running database)?*</v>
      </c>
      <c r="C112" s="57" t="str">
        <f>VLOOKUP($A112,Questions!$A$3:$X$333,19,0)&amp;""</f>
        <v>The need for encryption at-rest is unique to your institution's implementation of a system. In particular, system components, architectures, and data flows all factor into the need for this control.</v>
      </c>
      <c r="D112" s="57" t="str">
        <f>VLOOKUP($A112,Questions!$A$3:$X$333,20,0)&amp;""</f>
        <v>Follow-up inquiries for data encryption at-rest will be institution/implementation specific.</v>
      </c>
    </row>
    <row r="113" spans="1:5" ht="68.25" customHeight="1" x14ac:dyDescent="0.3">
      <c r="A113" s="57" t="s">
        <v>179</v>
      </c>
      <c r="B113" s="57" t="str">
        <f>VLOOKUP($A113,Questions!$A$3:$X$333,2,0)&amp;""</f>
        <v>Do all cryptographic modules in use in your solution conform to the Federal Information Processing Standards (FIPS PUB 140-2 or 140-3)?*</v>
      </c>
      <c r="C113" s="57" t="str">
        <f>VLOOKUP($A113,Questions!$A$3:$X$333,19,0)&amp;""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113" s="57" t="str">
        <f>VLOOKUP($A113,Questions!$A$3:$X$333,20,0)&amp;""</f>
        <v>If the solution provider cannot accommodate open standards encryption requirements, direct them to NIST's Cryptographic Standards and Guidelines document &lt;https://csrc.nist.gov/Projects/Cryptographic-Standards-and-Guidelines&gt;.</v>
      </c>
      <c r="E113" s="51"/>
    </row>
    <row r="114" spans="1:5" ht="54" customHeight="1" x14ac:dyDescent="0.3">
      <c r="A114" s="57" t="s">
        <v>181</v>
      </c>
      <c r="B114" s="57" t="str">
        <f>VLOOKUP($A114,Questions!$A$3:$X$333,2,0)&amp;""</f>
        <v>Will the institution's data be available within the system for a period of time at the completion of this contract?*</v>
      </c>
      <c r="C114" s="57" t="str">
        <f>VLOOKUP($A114,Questions!$A$3:$X$333,19,0)&amp;""</f>
        <v>When cancelling a solution, an institution will commonly want all institutional data that was provided to a solution provider. This questions allows the solution provider to state their general practices when a customer leaves their environment.</v>
      </c>
      <c r="D114" s="57" t="str">
        <f>VLOOKUP($A114,Questions!$A$3:$X$333,20,0)&amp;""</f>
        <v>A solution provider's response should be clear and concise. Be wary of vague responses to this questions and inquire about export specifics, as needed.</v>
      </c>
      <c r="E114" s="58"/>
    </row>
    <row r="115" spans="1:5" ht="51" customHeight="1" x14ac:dyDescent="0.3">
      <c r="A115" s="57" t="s">
        <v>183</v>
      </c>
      <c r="B115" s="57" t="str">
        <f>VLOOKUP($A115,Questions!$A$3:$X$333,2,0)&amp;""</f>
        <v>Are ownership rights to all data, inputs, outputs, and metadata retained even through a provider acquisition or bankruptcy event?*</v>
      </c>
      <c r="C115" s="57" t="str">
        <f>VLOOKUP($A115,Questions!$A$3:$X$333,19,0)&amp;""</f>
        <v>This question clarifies the position of the institution in the case of acquisition or bankruptcy. Expect clear responses to this question. If they are vague, be sure to follow up based on institutional counsel guidance.</v>
      </c>
      <c r="D115" s="57" t="str">
        <f>VLOOKUP($A115,Questions!$A$3:$X$333,20,0)&amp;""</f>
        <v>If a solution provider's response is unsatisfactory, engage institutional counsel to appropriately address any ownership concerns.</v>
      </c>
    </row>
    <row r="116" spans="1:5" ht="61.5" customHeight="1" x14ac:dyDescent="0.3">
      <c r="A116" s="57" t="s">
        <v>185</v>
      </c>
      <c r="B116" s="57" t="str">
        <f>VLOOKUP($A116,Questions!$A$3:$X$333,2,0)&amp;""</f>
        <v>Do backups containing the institution's data ever leave the institution's data zone either physically or via network routing?*</v>
      </c>
      <c r="C116" s="57" t="str">
        <f>VLOOKUP($A116,Questions!$A$3:$X$333,19,0)&amp;""</f>
        <v>Data exposure is a risk if sensitive data is in any way transported (physically or electronically) into a data zone that is not authorized by the institution. Depending on the criticality of data and institution policy, full control of data confidentiality may be highly valued.</v>
      </c>
      <c r="D116" s="57" t="str">
        <f>VLOOKUP($A116,Questions!$A$3:$X$333,20,0)&amp;""</f>
        <v>Follow-up inquiries for data backup procedures/practices will be institution/implementation specific.</v>
      </c>
    </row>
    <row r="117" spans="1:5" ht="66.75" customHeight="1" x14ac:dyDescent="0.3">
      <c r="A117" s="57" t="s">
        <v>187</v>
      </c>
      <c r="B117" s="57" t="str">
        <f>VLOOKUP($A117,Questions!$A$3:$X$333,2,0)&amp;""</f>
        <v>Is media used for long-term retention of business data and archival purposes stored in a secure, environmentally protected area?*</v>
      </c>
      <c r="C117" s="57" t="str">
        <f>VLOOKUP($A117,Questions!$A$3:$X$333,19,0)&amp;""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7" s="57" t="str">
        <f>VLOOKUP($A117,Questions!$A$3:$X$333,20,0)&amp;""</f>
        <v>Vague responses to this question should be investigated further. Ask for additional documentation and verify that procedure (and possibly training) exists to ensure proper media handling activity.</v>
      </c>
    </row>
    <row r="118" spans="1:5" ht="86.25" customHeight="1" x14ac:dyDescent="0.3">
      <c r="A118" s="57" t="s">
        <v>189</v>
      </c>
      <c r="B118" s="57" t="str">
        <f>VLOOKUP($A118,Questions!$A$3:$X$333,2,0)&amp;""</f>
        <v>At the completion of this contract, will data be returned to the institution and/or deleted from all your systems and archives?</v>
      </c>
      <c r="C118" s="57" t="str">
        <f>VLOOKUP($A118,Questions!$A$3:$X$333,19,0)&amp;""</f>
        <v>When cancelling a solution, an institution will commonly want all institutional data that was provided to a solution provider. This question allows the solution provider to state its general practices when a customer leaves its environment.</v>
      </c>
      <c r="D118" s="57" t="str">
        <f>VLOOKUP($A118,Questions!$A$3:$X$333,20,0)&amp;""</f>
        <v>A solution provider's response should be clear and concise. Be wary of vague responses to this questions and inquire about export specifics, as needed.</v>
      </c>
    </row>
    <row r="119" spans="1:5" ht="40.5" x14ac:dyDescent="0.3">
      <c r="A119" s="57" t="s">
        <v>191</v>
      </c>
      <c r="B119" s="57" t="str">
        <f>VLOOKUP($A119,Questions!$A$3:$X$333,2,0)&amp;""</f>
        <v>Can the institution extract a full or partial backup of data?</v>
      </c>
      <c r="C119" s="57" t="str">
        <f>VLOOKUP($A119,Questions!$A$3:$X$333,19,0)&amp;""</f>
        <v>When cancelling a solution, an institution will commonly want all institutional data that was provided to a solution provider. The solution provider's response should verify if the institution can extract data or if it is a manual extraction by solution provider staff.</v>
      </c>
      <c r="D119" s="57" t="str">
        <f>VLOOKUP($A119,Questions!$A$3:$X$333,20,0)&amp;""</f>
        <v>A solution provider's response should be clear and concise. Be wary of vague responses to this questions and inquire about export specifics, as needed.</v>
      </c>
    </row>
    <row r="120" spans="1:5" ht="49.5" customHeight="1" x14ac:dyDescent="0.3">
      <c r="A120" s="57" t="s">
        <v>193</v>
      </c>
      <c r="B120" s="57" t="str">
        <f>VLOOKUP($A120,Questions!$A$3:$X$333,2,0)&amp;""</f>
        <v>Do current backups include all operating system software, utilities, security software, application software, and data files necessary for recovery?</v>
      </c>
      <c r="C120" s="57" t="str">
        <f>VLOOKUP($A120,Questions!$A$3:$X$333,19,0)&amp;""</f>
        <v>The purpose of this question is to define the scope of backup operations and the scope at which a solution provider may readily recover when backup restoration is required.</v>
      </c>
      <c r="D120" s="57" t="str">
        <f>VLOOKUP($A120,Questions!$A$3:$X$333,20,0)&amp;""</f>
        <v>Follow-up inquiries for backup content scope will be institution/implementation specific.</v>
      </c>
    </row>
    <row r="121" spans="1:5" ht="64.5" customHeight="1" x14ac:dyDescent="0.3">
      <c r="A121" s="57" t="s">
        <v>195</v>
      </c>
      <c r="B121" s="57" t="str">
        <f>VLOOKUP($A121,Questions!$A$3:$X$333,2,0)&amp;""</f>
        <v>Are you performing off-site backups (i.e., digitally moved off site)?</v>
      </c>
      <c r="C121" s="57" t="str">
        <f>VLOOKUP($A121,Questions!$A$3:$X$333,19,0)&amp;""</f>
        <v>When data is moved digitally (e.g., cloud provider, solution provider-owned facility, etc.) off-site, the policies and implemented procedures are important to know. The protections implemented to prevent compromise will be technical in nature and should be well-documented.</v>
      </c>
      <c r="D121" s="57" t="str">
        <f>VLOOKUP($A121,Questions!$A$3:$X$333,20,0)&amp;""</f>
        <v>Follow-up inquiries for off-site, digital backups will be institution/implementation specific.</v>
      </c>
    </row>
    <row r="122" spans="1:5" ht="60.75" customHeight="1" x14ac:dyDescent="0.3">
      <c r="A122" s="57" t="s">
        <v>197</v>
      </c>
      <c r="B122" s="57" t="str">
        <f>VLOOKUP($A122,Questions!$A$3:$X$333,2,0)&amp;""</f>
        <v>Are physical backups taken off-site (i.e., physically moved off site)?</v>
      </c>
      <c r="C122" s="57" t="str">
        <f>VLOOKUP($A122,Questions!$A$3:$X$333,19,0)&amp;""</f>
        <v>When data is moved physically (e.g., print, etc.) off-site, the policies and implemented procedures are important to know. Unencrypted data taken outside secured areas introduces unnecessary risks.</v>
      </c>
      <c r="D122" s="57" t="str">
        <f>VLOOKUP($A122,Questions!$A$3:$X$333,20,0)&amp;""</f>
        <v>Follow-up inquiries for off-site, physical backups will be institution/implementation specific.</v>
      </c>
    </row>
    <row r="123" spans="1:5" ht="58.5" customHeight="1" x14ac:dyDescent="0.3">
      <c r="A123" s="57" t="s">
        <v>199</v>
      </c>
      <c r="B123" s="57" t="str">
        <f>VLOOKUP($A123,Questions!$A$3:$X$333,2,0)&amp;""</f>
        <v>Are data backups encrypted?</v>
      </c>
      <c r="C123" s="57" t="str">
        <f>VLOOKUP($A123,Questions!$A$3:$X$333,19,0)&amp;""</f>
        <v>The need for encryption at rest (for backups) is unique to your institution's implementation of a system. In particular, system components, architectures, and data flows all factor into the need for this control.</v>
      </c>
      <c r="D123" s="57" t="str">
        <f>VLOOKUP($A123,Questions!$A$3:$X$333,20,0)&amp;""</f>
        <v>Follow-up inquiries for data backup encryption at-rest will be institution/implementation specific.</v>
      </c>
    </row>
    <row r="124" spans="1:5" ht="54" x14ac:dyDescent="0.3">
      <c r="A124" s="57" t="s">
        <v>201</v>
      </c>
      <c r="B124" s="57" t="str">
        <f>VLOOKUP($A124,Questions!$A$3:$X$333,2,0)&amp;""</f>
        <v>Do you have a media handling process that is documented and currently implemented that meets established business needs and regulatory requirements, including end-of-life, repurposing, and data-sanitization procedures?</v>
      </c>
      <c r="C124" s="57" t="str">
        <f>VLOOKUP($A124,Questions!$A$3:$X$333,19,0)&amp;""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24" s="57" t="str">
        <f>VLOOKUP($A124,Questions!$A$3:$X$333,20,0)&amp;""</f>
        <v>Vague responses to this question should be investigated further. Ask for additional documentation and verify that procedure (and possibly training) exists to ensure proper media handling activity.</v>
      </c>
    </row>
    <row r="125" spans="1:5" ht="66.75" customHeight="1" x14ac:dyDescent="0.25">
      <c r="A125" s="57" t="s">
        <v>203</v>
      </c>
      <c r="B125" s="57" t="str">
        <f>VLOOKUP($A125,Questions!$A$3:$X$333,2,0)&amp;""</f>
        <v>Does the process described in DATA-15 adhere to DoD 5220.22-M and/or NIST SP 800-88 standards?</v>
      </c>
      <c r="C125" s="57" t="str">
        <f>VLOOKUP($A125,Questions!$A$3:$X$333,19,0)&amp;""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25" s="57" t="str">
        <f>VLOOKUP($A125,Questions!$A$3:$X$333,20,0)&amp;""</f>
        <v>Follow-up inquiries for DoD 5220.22-M and/or SP800-88 standards will be institution specific.</v>
      </c>
      <c r="E125" s="237" t="s">
        <v>665</v>
      </c>
    </row>
    <row r="126" spans="1:5" ht="54" x14ac:dyDescent="0.3">
      <c r="A126" s="57" t="s">
        <v>205</v>
      </c>
      <c r="B126" s="57" t="str">
        <f>VLOOKUP($A126,Questions!$A$3:$X$333,2,0)&amp;""</f>
        <v>Does your staff (or third party) have access to institutional data (e.g., financial, PHI, or other sensitive information) through any means?</v>
      </c>
      <c r="C126" s="57" t="str">
        <f>VLOOKUP($A126,Questions!$A$3:$X$333,19,0)&amp;""</f>
        <v>Confidentiality is the focus of this question. Based on the capabilities of solution provider administrators, the institution may require additional safeguards to protect the confidentiality of data stored by or shared with a solution provider (e.g., additional layer of encryption, etc.).</v>
      </c>
      <c r="D126" s="57" t="str">
        <f>VLOOKUP($A126,Questions!$A$3:$X$333,20,0)&amp;""</f>
        <v>If institutional data is visible by the solution provider's system administrators, follow up with the solution provider to understand the scope of visibility, process/procedure that administrators follow, and use cases when administrators are allowed to access (view) institutional data.</v>
      </c>
    </row>
    <row r="127" spans="1:5" ht="143.25" customHeight="1" x14ac:dyDescent="0.3">
      <c r="A127" s="57" t="s">
        <v>207</v>
      </c>
      <c r="B127" s="57" t="str">
        <f>VLOOKUP($A127,Questions!$A$3:$X$333,2,0)&amp;""</f>
        <v>Do you have a documented and currently implemented strategy for securing employee workstations when they work remotely (i.e., not in a trusted computing environment)?</v>
      </c>
      <c r="C127" s="57" t="str">
        <f>VLOOKUP($A127,Questions!$A$3:$X$333,19,0)&amp;""</f>
        <v>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v>
      </c>
      <c r="D127" s="57" t="str">
        <f>VLOOKUP($A127,Questions!$A$3:$X$333,20,0)&amp;""</f>
        <v>Vague responses to this question should be investigated further. Ask for additional documentation and verify that procedure (and possibly training) exists to ensure proper customer data handling activity.</v>
      </c>
    </row>
    <row r="128" spans="1:5" ht="91.5" customHeight="1" x14ac:dyDescent="0.3">
      <c r="A128" s="57" t="s">
        <v>209</v>
      </c>
      <c r="B128" s="57" t="str">
        <f>VLOOKUP($A128,Questions!$A$3:$X$333,2,0)&amp;""</f>
        <v>Does the environment provide for dedicated single-tenant capabilities? If not, describe how your solution or environment separates data from different customers (e.g., logically, physically, single tenancy, multi-tenancy).</v>
      </c>
      <c r="C128" s="57" t="str">
        <f>VLOOKUP($A128,Questions!$A$3:$X$333,19,0)&amp;""</f>
        <v>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v>
      </c>
      <c r="D128" s="57" t="str">
        <f>VLOOKUP($A128,Questions!$A$3:$X$333,20,0)&amp;""</f>
        <v>Follow-up inquiries for dedicated single-tenant capabilities will be institution/implementation specific.</v>
      </c>
    </row>
    <row r="129" spans="1:5" ht="73.5" customHeight="1" x14ac:dyDescent="0.3">
      <c r="A129" s="57" t="s">
        <v>211</v>
      </c>
      <c r="B129" s="57" t="str">
        <f>VLOOKUP($A129,Questions!$A$3:$X$333,2,0)&amp;""</f>
        <v>Are ownership rights to all data, inputs, outputs, and metadata retained by the institution?</v>
      </c>
      <c r="C129" s="57" t="str">
        <f>VLOOKUP($A129,Questions!$A$3:$X$333,19,0)&amp;""</f>
        <v>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v>
      </c>
      <c r="D129" s="57" t="str">
        <f>VLOOKUP($A129,Questions!$A$3:$X$333,20,0)&amp;""</f>
        <v>If a solution provider's response is unsatisfactory, engage institutional counsel to appropriately address any ownership concerns.</v>
      </c>
      <c r="E129" s="51"/>
    </row>
    <row r="130" spans="1:5" ht="64.5" customHeight="1" x14ac:dyDescent="0.3">
      <c r="A130" s="57" t="s">
        <v>213</v>
      </c>
      <c r="B130" s="57" t="str">
        <f>VLOOKUP($A130,Questions!$A$3:$X$333,2,0)&amp;""</f>
        <v>In the event of imminent bankruptcy, closing of business, or retirement of service, will you provide 90 days for customers to get their data out of the system and migrate applications?</v>
      </c>
      <c r="C130" s="57" t="str">
        <f>VLOOKUP($A130,Questions!$A$3:$X$333,19,0)&amp;""</f>
        <v>This question clarifies the position of the institution in the case of acquisition or bankruptcy. Expect clear responses to this question. If they are vague, be sure to follow up based on institutional counsel guidance.</v>
      </c>
      <c r="D130" s="57" t="str">
        <f>VLOOKUP($A130,Questions!$A$3:$X$333,20,0)&amp;""</f>
        <v>If a solution provider's response is unsatisfactory, engage institutional counsel to appropriately address any ownership concerns.</v>
      </c>
      <c r="E130" s="58"/>
    </row>
    <row r="131" spans="1:5" ht="66.75" customHeight="1" x14ac:dyDescent="0.3">
      <c r="A131" s="57" t="s">
        <v>215</v>
      </c>
      <c r="B131" s="57" t="str">
        <f>VLOOKUP($A131,Questions!$A$3:$X$333,2,0)&amp;""</f>
        <v>Are involatile backup copies made according to predefined schedules and securely stored and protected?</v>
      </c>
      <c r="C131" s="57" t="str">
        <f>VLOOKUP($A131,Questions!$A$3:$X$333,19,0)&amp;""</f>
        <v>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v>
      </c>
      <c r="D131" s="57" t="str">
        <f>VLOOKUP($A131,Questions!$A$3:$X$333,20,0)&amp;""</f>
        <v>An institution's use case will drive the requirements for backup strategy. Ensure that the institution's use case and risk tolerance can be met by solution provider systems.</v>
      </c>
      <c r="E131" s="60"/>
    </row>
    <row r="132" spans="1:5" ht="81.75" customHeight="1" x14ac:dyDescent="0.3">
      <c r="A132" s="57" t="s">
        <v>217</v>
      </c>
      <c r="B132" s="57" t="str">
        <f>VLOOKUP($A132,Questions!$A$3:$X$333,2,0)&amp;""</f>
        <v>Do you have a cryptographic key management process (generation, exchange, storage, safeguards, use, vetting, and replacement) that is documented and currently implemented, for all system components (e.g., database, system, web, etc.)?</v>
      </c>
      <c r="C132" s="57" t="str">
        <f>VLOOKUP($A132,Questions!$A$3:$X$333,19,0)&amp;""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32" s="57" t="str">
        <f>VLOOKUP($A132,Questions!$A$3:$X$333,20,0)&amp;""</f>
        <v>Follow up with the solution provider to ensure that all components of the system are considered. This includes system-to-system, system-to-client, applications, system accounts, etc.</v>
      </c>
    </row>
    <row r="133" spans="1:5" ht="17.5" x14ac:dyDescent="0.3">
      <c r="A133" s="63" t="str">
        <f>VLOOKUP(LEFT($A134,4),'Auto Responses'!$N$4:$O$38,2,0)&amp;""</f>
        <v xml:space="preserve"> Application/Service Security</v>
      </c>
      <c r="B133" s="63"/>
      <c r="C133" s="56" t="str">
        <f>Questions!$S$2</f>
        <v>Reason for Question</v>
      </c>
      <c r="D133" s="56" t="str">
        <f>Questions!$T$2</f>
        <v>Follow-Up Inquiries/Responses</v>
      </c>
    </row>
    <row r="134" spans="1:5" ht="80.25" customHeight="1" x14ac:dyDescent="0.3">
      <c r="A134" s="64" t="s">
        <v>220</v>
      </c>
      <c r="B134" s="57" t="str">
        <f>VLOOKUP($A134,Questions!$A$3:$X$333,2,0)&amp;""</f>
        <v>Are access controls for institutional accounts based on structured rules, such as role-based access control (RBAC), attribute-based access control (ABAC), or policy-based access control (PBAC)?*</v>
      </c>
      <c r="C134" s="57" t="str">
        <f>VLOOKUP($A134,Questions!$A$3:$X$333,19,0)&amp;""</f>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v>
      </c>
      <c r="D134" s="57" t="str">
        <f>VLOOKUP($A134,Questions!$A$3:$X$333,20,0)&amp;""</f>
        <v>Ask the solution provider to summarize the best practices to restrict/control the access given to the institution's end users without the use of RBAC. Make sure to understand the administrative requirements/overhead introduced in the solution provider's environment.</v>
      </c>
    </row>
    <row r="135" spans="1:5" ht="84" customHeight="1" x14ac:dyDescent="0.3">
      <c r="A135" s="57" t="s">
        <v>222</v>
      </c>
      <c r="B135" s="57" t="str">
        <f>VLOOKUP($A135,Questions!$A$3:$X$333,2,0)&amp;""</f>
        <v>Are you using a web application firewall (WAF)?*</v>
      </c>
      <c r="C135" s="57" t="str">
        <f>VLOOKUP($A135,Questions!$A$3:$X$333,19,0)&amp;""</f>
        <v>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v>
      </c>
      <c r="D135" s="57" t="str">
        <f>VLOOKUP($A135,Questions!$A$3:$X$333,20,0)&amp;""</f>
        <v>If a solution provider states that they outsource their code development and do not run a WAF, there is elevated reason for concern. Verify how code is tested, monitored, and controlled in production environments.</v>
      </c>
    </row>
    <row r="136" spans="1:5" ht="71.25" customHeight="1" x14ac:dyDescent="0.3">
      <c r="A136" s="57" t="s">
        <v>224</v>
      </c>
      <c r="B136" s="57" t="str">
        <f>VLOOKUP($A136,Questions!$A$3:$X$333,2,0)&amp;""</f>
        <v>Are only currently supported operating system(s), software, and libraries leveraged by the system(s)/application(s) that will have access to institution's data?*</v>
      </c>
      <c r="C136" s="57" t="str">
        <f>VLOOKUP($A136,Questions!$A$3:$X$333,19,0)&amp;""</f>
        <v>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v>
      </c>
      <c r="D136" s="57" t="str">
        <f>VLOOKUP($A136,Questions!$A$3:$X$333,20,0)&amp;""</f>
        <v>Follow-up inquiries for operating systems leveraged by the solution provider will be institution/implementation specific.</v>
      </c>
    </row>
    <row r="137" spans="1:5" ht="46.5" customHeight="1" x14ac:dyDescent="0.3">
      <c r="A137" s="57" t="s">
        <v>226</v>
      </c>
      <c r="B137" s="57" t="str">
        <f>VLOOKUP($A137,Questions!$A$3:$X$333,2,0)&amp;""</f>
        <v>Does your application require access to location or GPS data?*</v>
      </c>
      <c r="C137" s="57" t="str">
        <f>VLOOKUP($A137,Questions!$A$3:$X$333,19,0)&amp;""</f>
        <v>Sharing location data significantly increases risk factors for users. It's important to understand if this is required.</v>
      </c>
      <c r="D137" s="57" t="str">
        <f>VLOOKUP($A137,Questions!$A$3:$X$333,20,0)&amp;""</f>
        <v>Ask the solution provider about the need for this requirement, and understand any mitigation strategies that may be possible.</v>
      </c>
    </row>
    <row r="138" spans="1:5" ht="74.25" customHeight="1" x14ac:dyDescent="0.3">
      <c r="A138" s="57" t="s">
        <v>228</v>
      </c>
      <c r="B138" s="57" t="str">
        <f>VLOOKUP($A138,Questions!$A$3:$X$333,2,0)&amp;""</f>
        <v>Does your application provide separation of duties between security administration, system administration, and standard user functions?*</v>
      </c>
      <c r="C138" s="57" t="str">
        <f>VLOOKUP($A138,Questions!$A$3:$X$333,19,0)&amp;""</f>
        <v>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v>
      </c>
      <c r="D138" s="57" t="str">
        <f>VLOOKUP($A138,Questions!$A$3:$X$333,20,0)&amp;""</f>
        <v>Ask the solution provider to summarize their best practices for securing their system(s) administratively without the use of RBAC. Make sure to understand the administrative requirements/overhead introduced in the solution provider's environment.</v>
      </c>
    </row>
    <row r="139" spans="1:5" ht="79.5" customHeight="1" x14ac:dyDescent="0.3">
      <c r="A139" s="57" t="s">
        <v>230</v>
      </c>
      <c r="B139" s="57" t="str">
        <f>VLOOKUP($A139,Questions!$A$3:$X$333,2,0)&amp;""</f>
        <v>Do you subject your code to static code analysis and/or static application security testing prior to release?*</v>
      </c>
      <c r="C139" s="57" t="str">
        <f>VLOOKUP($A139,Questions!$A$3:$X$333,19,0)&amp;""</f>
        <v>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v>
      </c>
      <c r="D139" s="57" t="str">
        <f>VLOOKUP($A139,Questions!$A$3:$X$333,20,0)&amp;""</f>
        <v>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v>
      </c>
    </row>
    <row r="140" spans="1:5" ht="56.25" customHeight="1" x14ac:dyDescent="0.3">
      <c r="A140" s="57" t="s">
        <v>231</v>
      </c>
      <c r="B140" s="57" t="str">
        <f>VLOOKUP($A140,Questions!$A$3:$X$333,2,0)&amp;""</f>
        <v>Do you have software testing processes (dynamic or static) that are established and followed?*</v>
      </c>
      <c r="C140" s="57" t="str">
        <f>VLOOKUP($A140,Questions!$A$3:$X$333,19,0)&amp;""</f>
        <v>Code analysis (prior to implementation) can decrease the number of vulnerabilities within a system. Depending on the insight a solution provider has into their code, code testing should be expected.</v>
      </c>
      <c r="D140" s="57" t="str">
        <f>VLOOKUP($A140,Questions!$A$3:$X$333,20,0)&amp;""</f>
        <v>If software testing processes are not established and followed, point the solution provider to OWASP's Testing Guide &lt;https://www.owasp.org/index.php/OWASP_Testing_Guide_v4_Table_of_Contents&gt;.</v>
      </c>
    </row>
    <row r="141" spans="1:5" ht="63.75" customHeight="1" x14ac:dyDescent="0.3">
      <c r="A141" s="57" t="s">
        <v>232</v>
      </c>
      <c r="B141" s="57" t="str">
        <f>VLOOKUP($A141,Questions!$A$3:$X$333,2,0)&amp;""</f>
        <v>Are access controls for staff within your organization based on structured rules, such as RBAC, ABAC, or PBAC?</v>
      </c>
      <c r="C141" s="57" t="str">
        <f>VLOOKUP($A141,Questions!$A$3:$X$333,19,0)&amp;""</f>
        <v>Managing a solution may rely on various professionals to administer a system. This question is focused on how administration, and the segregation of functions, is implemented within the solution provider's infrastructure.</v>
      </c>
      <c r="D141" s="57" t="str">
        <f>VLOOKUP($A141,Questions!$A$3:$X$333,20,0)&amp;""</f>
        <v>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v>
      </c>
    </row>
    <row r="142" spans="1:5" ht="74.25" customHeight="1" x14ac:dyDescent="0.3">
      <c r="A142" s="57" t="s">
        <v>234</v>
      </c>
      <c r="B142" s="57" t="str">
        <f>VLOOKUP($A142,Questions!$A$3:$X$333,2,0)&amp;""</f>
        <v>Does the system provide data input validation and error messages?</v>
      </c>
      <c r="C142" s="57" t="str">
        <f>VLOOKUP($A142,Questions!$A$3:$X$333,19,0)&amp;""</f>
        <v>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v>
      </c>
      <c r="D142" s="57" t="str">
        <f>VLOOKUP($A142,Questions!$A$3:$X$333,20,0)&amp;""</f>
        <v>Inquire about any planned improvements to these capabilities. Ask about their product roadmap, and try to understand how they prioritize security concerns in their environment.</v>
      </c>
    </row>
    <row r="143" spans="1:5" ht="90" customHeight="1" x14ac:dyDescent="0.3">
      <c r="A143" s="57" t="s">
        <v>236</v>
      </c>
      <c r="B143" s="57" t="str">
        <f>VLOOKUP($A143,Questions!$A$3:$X$333,2,0)&amp;""</f>
        <v>Do you have a process and implemented procedures for managing your software supply chain (e.g., libraries, repositories, frameworks, etc.)?</v>
      </c>
      <c r="C143" s="57" t="str">
        <f>VLOOKUP($A143,Questions!$A$3:$X$333,19,0)&amp;""</f>
        <v>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143" s="57" t="str">
        <f>VLOOKUP($A143,Questions!$A$3:$X$333,20,0)&amp;""</f>
        <v>Follow-up inquiries concerning software supply chain will be institution/implementation specific.</v>
      </c>
    </row>
    <row r="144" spans="1:5" ht="75.75" customHeight="1" x14ac:dyDescent="0.3">
      <c r="A144" s="57" t="s">
        <v>238</v>
      </c>
      <c r="B144" s="57" t="str">
        <f>VLOOKUP($A144,Questions!$A$3:$X$333,2,0)&amp;""</f>
        <v>Have your developers been trained in secure coding techniques?</v>
      </c>
      <c r="C144" s="57" t="str">
        <f>VLOOKUP($A144,Questions!$A$3:$X$333,19,0)&amp;""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44" s="57" t="str">
        <f>VLOOKUP($A144,Questions!$A$3:$X$333,20,0)&amp;""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45" spans="1:5" ht="76.5" customHeight="1" x14ac:dyDescent="0.3">
      <c r="A145" s="57" t="s">
        <v>240</v>
      </c>
      <c r="B145" s="57" t="str">
        <f>VLOOKUP($A145,Questions!$A$3:$X$333,2,0)&amp;""</f>
        <v>Was your application developed using secure coding techniques?</v>
      </c>
      <c r="C145" s="57" t="str">
        <f>VLOOKUP($A145,Questions!$A$3:$X$333,19,0)&amp;""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45" s="57" t="str">
        <f>VLOOKUP($A145,Questions!$A$3:$X$333,20,0)&amp;""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46" spans="1:5" ht="61.5" customHeight="1" x14ac:dyDescent="0.3">
      <c r="A146" s="57" t="s">
        <v>242</v>
      </c>
      <c r="B146" s="57" t="str">
        <f>VLOOKUP($A146,Questions!$A$3:$X$333,2,0)&amp;""</f>
        <v>If mobile, is the application available from a trusted source (e.g., App Store, Google Play Store)?</v>
      </c>
      <c r="C146" s="57" t="str">
        <f>VLOOKUP($A146,Questions!$A$3:$X$333,19,0)&amp;""</f>
        <v>Distributing application via known, moderately vetted application platform decreases the chances of malicious code distribution. Stand-alone deployments (nontrusted sources) should be looked at more closely.</v>
      </c>
      <c r="D146" s="57" t="str">
        <f>VLOOKUP($A146,Questions!$A$3:$X$333,20,0)&amp;""</f>
        <v>Ask the solution provider why this deployment strategy is used. Ask if it is a restriction of the app store platform or some other environment restriction.</v>
      </c>
    </row>
    <row r="147" spans="1:5" ht="60.75" customHeight="1" x14ac:dyDescent="0.3">
      <c r="A147" s="57" t="s">
        <v>245</v>
      </c>
      <c r="B147" s="57" t="str">
        <f>VLOOKUP($A147,Questions!$A$3:$X$333,2,0)&amp;""</f>
        <v>Do you have a fully implemented policy or procedure that details how your employees obtain administrator access to institutional instance of the application?</v>
      </c>
      <c r="C147" s="57" t="str">
        <f>VLOOKUP($A147,Questions!$A$3:$X$333,19,0)&amp;""</f>
        <v>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v>
      </c>
      <c r="D147" s="57" t="str">
        <f>VLOOKUP($A147,Questions!$A$3:$X$333,20,0)&amp;""</f>
        <v>Ask the solution provider to summarize their implemented policies and/or procedures</v>
      </c>
    </row>
    <row r="148" spans="1:5" ht="17.5" x14ac:dyDescent="0.3">
      <c r="A148" s="63" t="str">
        <f>VLOOKUP(LEFT($A149,4),'Auto Responses'!$N$4:$O$38,2,0)&amp;""</f>
        <v xml:space="preserve"> Datacenter</v>
      </c>
      <c r="B148" s="63"/>
      <c r="C148" s="56" t="str">
        <f>Questions!$S$2</f>
        <v>Reason for Question</v>
      </c>
      <c r="D148" s="56" t="str">
        <f>Questions!$T$2</f>
        <v>Follow-Up Inquiries/Responses</v>
      </c>
    </row>
    <row r="149" spans="1:5" ht="57.75" customHeight="1" x14ac:dyDescent="0.25">
      <c r="A149" s="57" t="s">
        <v>247</v>
      </c>
      <c r="B149" s="57" t="str">
        <f>VLOOKUP($A149,Questions!$A$3:$X$333,2,0)&amp;""</f>
        <v>Select your hosting option.</v>
      </c>
      <c r="C149" s="57" t="str">
        <f>VLOOKUP($A149,Questions!$A$3:$X$333,19,0)&amp;""</f>
        <v>Understanding the hosting environment may reveal infrastructure risks that may not be apparent by other means and provides context to the responses provided throughout this HECVAT.</v>
      </c>
      <c r="D149" s="57" t="str">
        <f>VLOOKUP($A149,Questions!$A$3:$X$333,20,0)&amp;""</f>
        <v>Follow-up inquiries for hosting options will be institution/implementation specific.</v>
      </c>
      <c r="E149" s="237" t="s">
        <v>665</v>
      </c>
    </row>
    <row r="150" spans="1:5" ht="129" customHeight="1" x14ac:dyDescent="0.3">
      <c r="A150" s="57" t="s">
        <v>249</v>
      </c>
      <c r="B150" s="57" t="str">
        <f>VLOOKUP($A150,Questions!$A$3:$X$333,2,0)&amp;""</f>
        <v>Is a SOC 2 Type 2 report available for the hosting environment?</v>
      </c>
      <c r="C150" s="57" t="str">
        <f>VLOOKUP($A150,Questions!$A$3:$X$333,19,0)&amp;""</f>
        <v>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v>
      </c>
      <c r="D150" s="57" t="str">
        <f>VLOOKUP($A150,Questions!$A$3:$X$333,20,0)&amp;""</f>
        <v>Follow-up inquiries for additional solution provider's SOC 2 Type 2 reports will be institution/implementation specific.</v>
      </c>
    </row>
    <row r="151" spans="1:5" ht="90" customHeight="1" x14ac:dyDescent="0.3">
      <c r="A151" s="57" t="s">
        <v>250</v>
      </c>
      <c r="B151" s="57" t="str">
        <f>VLOOKUP($A151,Questions!$A$3:$X$333,2,0)&amp;""</f>
        <v>Are you generally able to accommodate storing each institution's data within its geographic region?</v>
      </c>
      <c r="C151" s="57" t="str">
        <f>VLOOKUP($A151,Questions!$A$3:$X$333,19,0)&amp;""</f>
        <v>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v>
      </c>
      <c r="D151" s="57" t="str">
        <f>VLOOKUP($A151,Questions!$A$3:$X$333,20,0)&amp;""</f>
        <v>If a solution provider is unable to accommodate storing/processing institutional data within specific regions, ask them why they are unable to. Try to determine if it's an infrastructure issue (scalability), a cost-reduction strategy (size/maturity), or some other issue.</v>
      </c>
    </row>
    <row r="152" spans="1:5" ht="75" customHeight="1" x14ac:dyDescent="0.3">
      <c r="A152" s="57" t="s">
        <v>252</v>
      </c>
      <c r="B152" s="57" t="str">
        <f>VLOOKUP($A152,Questions!$A$3:$X$333,2,0)&amp;""</f>
        <v>Are the data centers staffed 24 hours a day, seven days a week (i.e., 24 x 7 x 365)?</v>
      </c>
      <c r="C152" s="57" t="str">
        <f>VLOOKUP($A152,Questions!$A$3:$X$333,19,0)&amp;""</f>
        <v>Solution Providers that operate their own datacenter(s) can implement their own monitoring strategy. Use the solution provider's response to this questions to verify/validate other responses related to ownership/co-location/physical security.</v>
      </c>
      <c r="D152" s="57" t="str">
        <f>VLOOKUP($A152,Questions!$A$3:$X$333,20,0)&amp;""</f>
        <v>Follow-up inquiries for data center staffing will be institution/implementation specific.</v>
      </c>
    </row>
    <row r="153" spans="1:5" ht="75" customHeight="1" x14ac:dyDescent="0.3">
      <c r="A153" s="57" t="s">
        <v>253</v>
      </c>
      <c r="B153" s="57" t="str">
        <f>VLOOKUP($A153,Questions!$A$3:$X$333,2,0)&amp;""</f>
        <v>Are your servers separated from other companies via a physical barrier, such as a cage or hard walls?</v>
      </c>
      <c r="C153" s="57" t="str">
        <f>VLOOKUP($A153,Questions!$A$3:$X$333,19,0)&amp;""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53" s="57" t="str">
        <f>VLOOKUP($A153,Questions!$A$3:$X$333,20,0)&amp;""</f>
        <v>Follow-up inquiries for system physical security will be institution/implementation specific.</v>
      </c>
      <c r="E153" s="51"/>
    </row>
    <row r="154" spans="1:5" ht="64.5" customHeight="1" x14ac:dyDescent="0.3">
      <c r="A154" s="57" t="s">
        <v>254</v>
      </c>
      <c r="B154" s="57" t="str">
        <f>VLOOKUP($A154,Questions!$A$3:$X$333,2,0)&amp;""</f>
        <v>Does a physical barrier fully enclose the physical space, preventing unauthorized physical contact with any of your devices?*</v>
      </c>
      <c r="C154" s="57" t="str">
        <f>VLOOKUP($A154,Questions!$A$3:$X$333,19,0)&amp;""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54" s="57" t="str">
        <f>VLOOKUP($A154,Questions!$A$3:$X$333,20,0)&amp;""</f>
        <v>Follow-up inquiries for system physical security will be institution/implementation specific.</v>
      </c>
      <c r="E154" s="58"/>
    </row>
    <row r="155" spans="1:5" ht="72" customHeight="1" x14ac:dyDescent="0.3">
      <c r="A155" s="57" t="s">
        <v>255</v>
      </c>
      <c r="B155" s="57" t="str">
        <f>VLOOKUP($A155,Questions!$A$3:$X$333,2,0)&amp;""</f>
        <v>Are your primary and secondary data centers geographically diverse?</v>
      </c>
      <c r="C155" s="57" t="str">
        <f>VLOOKUP($A155,Questions!$A$3:$X$333,19,0)&amp;""</f>
        <v>When planning for business continuity and disaster recovery, considering geographic diversity of a solution provider's operating environment will help analysts better understand risk due to widespread technical issues as well as weather and environmental considerations.</v>
      </c>
      <c r="D155" s="57" t="str">
        <f>VLOOKUP($A155,Questions!$A$3:$X$333,20,0)&amp;""</f>
        <v>Follow-up inquiries for geographic diversity in datacenters will be institution/implementation specific.</v>
      </c>
    </row>
    <row r="156" spans="1:5" ht="54.75" customHeight="1" x14ac:dyDescent="0.3">
      <c r="A156" s="57" t="s">
        <v>257</v>
      </c>
      <c r="B156" s="57" t="str">
        <f>VLOOKUP($A156,Questions!$A$3:$X$333,2,0)&amp;""</f>
        <v>Is the service hosted in a high-availability environment?</v>
      </c>
      <c r="C156" s="57" t="str">
        <f>VLOOKUP($A156,Questions!$A$3:$X$333,19,0)&amp;""</f>
        <v>In the context of the CIA triad, this question is focused on the availability of a system (or set of systems).</v>
      </c>
      <c r="D156" s="57" t="str">
        <f>VLOOKUP($A156,Questions!$A$3:$X$333,20,0)&amp;""</f>
        <v>The weight placed on the solution provider's response will be specific to the institution's use case and solution requirements.</v>
      </c>
    </row>
    <row r="157" spans="1:5" ht="48" customHeight="1" x14ac:dyDescent="0.3">
      <c r="A157" s="57" t="s">
        <v>259</v>
      </c>
      <c r="B157" s="57" t="str">
        <f>VLOOKUP($A157,Questions!$A$3:$X$333,2,0)&amp;""</f>
        <v>Is redundant power available for all data centers where institutional data will reside?</v>
      </c>
      <c r="C157" s="57" t="str">
        <f>VLOOKUP($A157,Questions!$A$3:$X$333,19,0)&amp;""</f>
        <v>In the context of the CIA triad, this question is focused on the availability of a system (or set of systems).</v>
      </c>
      <c r="D157" s="57" t="str">
        <f>VLOOKUP($A157,Questions!$A$3:$X$333,20,0)&amp;""</f>
        <v>The weight placed on the solution provider's response will be specific to the institution's use case and solution requirements.</v>
      </c>
    </row>
    <row r="158" spans="1:5" ht="59.25" customHeight="1" x14ac:dyDescent="0.3">
      <c r="A158" s="57" t="s">
        <v>260</v>
      </c>
      <c r="B158" s="57" t="str">
        <f>VLOOKUP($A158,Questions!$A$3:$X$333,2,0)&amp;""</f>
        <v>Are redundant power strategies tested?*</v>
      </c>
      <c r="C158" s="57" t="str">
        <f>VLOOKUP($A158,Questions!$A$3:$X$333,19,0)&amp;""</f>
        <v>Installing (potential) redundant power and regularly testing strategies to ensure they will work when needed are very different. Vague responses to this question should be met with concern and appropriate follow up, based on your institution's risk tolerance.</v>
      </c>
      <c r="D158" s="57" t="str">
        <f>VLOOKUP($A158,Questions!$A$3:$X$333,20,0)&amp;""</f>
        <v>Follow-up inquiries for redundant power testing details will be institution/implementation specific.</v>
      </c>
    </row>
    <row r="159" spans="1:5" ht="48" customHeight="1" x14ac:dyDescent="0.3">
      <c r="A159" s="57" t="s">
        <v>261</v>
      </c>
      <c r="B159" s="57" t="str">
        <f>VLOOKUP($A159,Questions!$A$3:$X$333,2,0)&amp;""</f>
        <v>Does the center where the data will reside have cooling and fire-suppression systems that are active and regularly tested?</v>
      </c>
      <c r="C159" s="57" t="str">
        <f>VLOOKUP($A159,Questions!$A$3:$X$333,19,0)&amp;""</f>
        <v>Installing appropriate environmental controls is crucial to maintaining the integrity of the hosting site. Vague responses to this question should be met with concern and appropriate follow up, based on your institutions risk tolerance.</v>
      </c>
      <c r="D159" s="57" t="str">
        <f>VLOOKUP($A159,Questions!$A$3:$X$333,20,0)&amp;""</f>
        <v>Follow-up inquiries for cooling and fire suppression systems will be institution/implementation specific.</v>
      </c>
    </row>
    <row r="160" spans="1:5" ht="45" customHeight="1" x14ac:dyDescent="0.3">
      <c r="A160" s="57" t="s">
        <v>262</v>
      </c>
      <c r="B160" s="57" t="str">
        <f>VLOOKUP($A160,Questions!$A$3:$X$333,2,0)&amp;""</f>
        <v>Do you have Internet Service Provider (ISP) redundancy?</v>
      </c>
      <c r="C160" s="57" t="str">
        <f>VLOOKUP($A160,Questions!$A$3:$X$333,19,0)&amp;""</f>
        <v>In the context of the CIA triad, this question is focused on the availability of a system (or set of systems).</v>
      </c>
      <c r="D160" s="57" t="str">
        <f>VLOOKUP($A160,Questions!$A$3:$X$333,20,0)&amp;""</f>
        <v>The weight placed on the solution provider's response will be specific to the institution's use case and solution requirements.</v>
      </c>
      <c r="E160" s="60"/>
    </row>
    <row r="161" spans="1:5" ht="53.25" customHeight="1" x14ac:dyDescent="0.3">
      <c r="A161" s="57" t="s">
        <v>263</v>
      </c>
      <c r="B161" s="57" t="str">
        <f>VLOOKUP($A161,Questions!$A$3:$X$333,2,0)&amp;""</f>
        <v>Does every data center where the institution's data will reside have multiple telephone company or network provider entrances to the facility?</v>
      </c>
      <c r="C161" s="57" t="str">
        <f>VLOOKUP($A161,Questions!$A$3:$X$333,19,0)&amp;""</f>
        <v>In the context of the CIA triad, this question is focused on the availability of a system (or set of systems).</v>
      </c>
      <c r="D161" s="57" t="str">
        <f>VLOOKUP($A161,Questions!$A$3:$X$333,20,0)&amp;""</f>
        <v>The weight placed on the solution provider's response will be specific to the institution's use case and solution requirements.</v>
      </c>
    </row>
    <row r="162" spans="1:5" ht="52.5" customHeight="1" x14ac:dyDescent="0.3">
      <c r="A162" s="57" t="s">
        <v>264</v>
      </c>
      <c r="B162" s="57" t="str">
        <f>VLOOKUP($A162,Questions!$A$3:$X$333,2,0)&amp;""</f>
        <v>Do you require multifactor authentication for all administrative accounts in your environment?</v>
      </c>
      <c r="C162" s="57" t="str">
        <f>VLOOKUP($A162,Questions!$A$3:$X$333,19,0)&amp;""</f>
        <v>2FA/MFA, implemented correctly, strengthens the security state of a system. 2FA/MFA is commonly implemented and in many use cases is a requirement for account protection purposes.</v>
      </c>
      <c r="D162" s="57" t="str">
        <f>VLOOKUP($A162,Questions!$A$3:$X$333,20,0)&amp;""</f>
        <v>Ask the solution provider about hardware and software options, future roadmap for implementations and support, etc.</v>
      </c>
    </row>
    <row r="163" spans="1:5" ht="39" customHeight="1" x14ac:dyDescent="0.3">
      <c r="A163" s="57" t="s">
        <v>266</v>
      </c>
      <c r="B163" s="57" t="str">
        <f>VLOOKUP($A163,Questions!$A$3:$X$333,2,0)&amp;""</f>
        <v>Are you using your cloud provider's available hardening tools or pre-hardened images?</v>
      </c>
      <c r="C163" s="57" t="str">
        <f>VLOOKUP($A163,Questions!$A$3:$X$333,19,0)&amp;""</f>
        <v>In the context of the CIA triad, this question is focused on the integrity of a system (or set of systems).</v>
      </c>
      <c r="D163" s="57" t="str">
        <f>VLOOKUP($A163,Questions!$A$3:$X$333,20,0)&amp;""</f>
        <v>Ask the solution provider about their system lifecycle practices and security methodology.</v>
      </c>
    </row>
    <row r="164" spans="1:5" ht="75.75" customHeight="1" x14ac:dyDescent="0.3">
      <c r="A164" s="57" t="s">
        <v>268</v>
      </c>
      <c r="B164" s="57" t="str">
        <f>VLOOKUP($A164,Questions!$A$3:$X$333,2,0)&amp;""</f>
        <v>Does your cloud solution provider have access to your encryption keys?</v>
      </c>
      <c r="C164" s="57" t="str">
        <f>VLOOKUP($A164,Questions!$A$3:$X$333,19,0)&amp;""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64" s="57" t="str">
        <f>VLOOKUP($A164,Questions!$A$3:$X$333,20,0)&amp;""</f>
        <v>Follow up with the solution provider to ensure that all components of the system are considered. This includes system-to-system, system-to-client, applications, system accounts, etc.</v>
      </c>
    </row>
    <row r="165" spans="1:5" ht="17.5" x14ac:dyDescent="0.3">
      <c r="A165" s="63" t="str">
        <f>VLOOKUP(LEFT($A166,4),'Auto Responses'!$N$4:$O$38,2,0)&amp;""</f>
        <v xml:space="preserve"> Firewalls, IDS, IPS, and Networking</v>
      </c>
      <c r="B165" s="63"/>
      <c r="C165" s="56" t="str">
        <f>Questions!$S$2</f>
        <v>Reason for Question</v>
      </c>
      <c r="D165" s="56" t="str">
        <f>Questions!$T$2</f>
        <v>Follow-Up Inquiries/Responses</v>
      </c>
    </row>
    <row r="166" spans="1:5" ht="67.5" customHeight="1" x14ac:dyDescent="0.3">
      <c r="A166" s="57" t="s">
        <v>270</v>
      </c>
      <c r="B166" s="57" t="str">
        <f>VLOOKUP($A166,Questions!$A$3:$X$333,2,0)&amp;""</f>
        <v>Are you utilizing a stateful packet inspection (SPI) firewall?*</v>
      </c>
      <c r="C166" s="57" t="str">
        <f>VLOOKUP($A166,Questions!$A$3:$X$333,19,0)&amp;""</f>
        <v>The use case, vendor infrastructure, and types of services offered will greatly affect the need for various firewalling devices. The focus of this question is integrity, ensuring that the systems hosting institutional data are limited in need-only communications.</v>
      </c>
      <c r="D166" s="57" t="str">
        <f>VLOOKUP($A166,Questions!$A$3:$X$333,20,0)&amp;""</f>
        <v>Follow-up inquiries for firewall capabilities will be institution/implementation specific.</v>
      </c>
      <c r="E166" s="60"/>
    </row>
    <row r="167" spans="1:5" ht="60" customHeight="1" x14ac:dyDescent="0.3">
      <c r="A167" s="57" t="s">
        <v>272</v>
      </c>
      <c r="B167" s="57" t="str">
        <f>VLOOKUP($A167,Questions!$A$3:$X$333,2,0)&amp;""</f>
        <v>Do you have a documented policy for firewall change requests?*</v>
      </c>
      <c r="C167" s="57" t="str">
        <f>VLOOKUP($A167,Questions!$A$3:$X$333,19,0)&amp;""</f>
        <v>In the context of the CIA triad, this question is focused on system integrity, ensuring that system changes are only executed by authorized users. Any change to a verified, known, secure environment should be carefully evaluated by stakeholders in a structured manner.</v>
      </c>
      <c r="D167" s="57" t="str">
        <f>VLOOKUP($A167,Questions!$A$3:$X$333,20,0)&amp;""</f>
        <v>Follow-up inquiries for firewall change requests will be institution/implementation specific.</v>
      </c>
    </row>
    <row r="168" spans="1:5" ht="59.25" customHeight="1" x14ac:dyDescent="0.3">
      <c r="A168" s="57" t="s">
        <v>274</v>
      </c>
      <c r="B168" s="57" t="str">
        <f>VLOOKUP($A168,Questions!$A$3:$X$333,2,0)&amp;""</f>
        <v>Have you implemented an intrusion detection system (network-based)?*</v>
      </c>
      <c r="C168" s="57" t="str">
        <f>VLOOKUP($A168,Questions!$A$3:$X$333,19,0)&amp;""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68" s="57" t="str">
        <f>VLOOKUP($A168,Questions!$A$3:$X$333,20,0)&amp;""</f>
        <v>A security program with limited resources for event detection is not effective. Inquiries should include training for staff, reasoning behind not using IDS technologies, and how systems are monitored. Additional questions about a SIEM and other tool may be appropriate.</v>
      </c>
    </row>
    <row r="169" spans="1:5" ht="63.75" customHeight="1" x14ac:dyDescent="0.3">
      <c r="A169" s="57" t="s">
        <v>276</v>
      </c>
      <c r="B169" s="57" t="str">
        <f>VLOOKUP($A169,Questions!$A$3:$X$333,2,0)&amp;""</f>
        <v>Do you employ host-based intrusion detection?*</v>
      </c>
      <c r="C169" s="57" t="str">
        <f>VLOOKUP($A169,Questions!$A$3:$X$333,19,0)&amp;""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69" s="57" t="str">
        <f>VLOOKUP($A169,Questions!$A$3:$X$333,20,0)&amp;""</f>
        <v>Ask the solution provider to summarize why host-based intrusion detection tools are not implemented in their environment. What compensating controls are in place to detect configuration changes and/or failures of integrity?</v>
      </c>
      <c r="E169" s="51"/>
    </row>
    <row r="170" spans="1:5" ht="71.25" customHeight="1" x14ac:dyDescent="0.3">
      <c r="A170" s="57" t="s">
        <v>278</v>
      </c>
      <c r="B170" s="57" t="str">
        <f>VLOOKUP($A170,Questions!$A$3:$X$333,2,0)&amp;""</f>
        <v>Are audit logs available for all changes to the network, firewall, IDS, and IPS systems?*</v>
      </c>
      <c r="C170" s="57" t="str">
        <f>VLOOKUP($A170,Questions!$A$3:$X$333,19,0)&amp;""</f>
        <v>Strong logging capabilities are vital to the proper management of a network. Implementing an immature system that lacks sufficient logging capabilities exposes an institution to great risk.</v>
      </c>
      <c r="D170" s="57" t="str">
        <f>VLOOKUP($A170,Questions!$A$3:$X$333,20,0)&amp;""</f>
        <v>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v>
      </c>
      <c r="E170" s="58"/>
    </row>
    <row r="171" spans="1:5" ht="72" customHeight="1" x14ac:dyDescent="0.3">
      <c r="A171" s="57" t="s">
        <v>280</v>
      </c>
      <c r="B171" s="57" t="str">
        <f>VLOOKUP($A171,Questions!$A$3:$X$333,2,0)&amp;""</f>
        <v>Is authority for firewall change approval documented? Please list approver names or titles in Additional Info.</v>
      </c>
      <c r="C171" s="57" t="str">
        <f>VLOOKUP($A171,Questions!$A$3:$X$333,19,0)&amp;""</f>
        <v>Modifications to firewall rule sets can have significant repercussions. To ensure the integrity of the rule set, this question targets the individual (or responsible party) for changes and the reasoning behind their authority.</v>
      </c>
      <c r="D171" s="57" t="str">
        <f>VLOOKUP($A171,Questions!$A$3:$X$333,20,0)&amp;""</f>
        <v>Ensure that a separation of duties exists in network security configurations. Pay close attention to responsibility overlap in small organizations, where staff often fill multiple roles.</v>
      </c>
    </row>
    <row r="172" spans="1:5" ht="67.5" customHeight="1" x14ac:dyDescent="0.3">
      <c r="A172" s="57" t="s">
        <v>282</v>
      </c>
      <c r="B172" s="57" t="str">
        <f>VLOOKUP($A172,Questions!$A$3:$X$333,2,0)&amp;""</f>
        <v>Have you implemented an intrusion prevention system (network-based)?</v>
      </c>
      <c r="C172" s="57" t="str">
        <f>VLOOKUP($A172,Questions!$A$3:$X$333,19,0)&amp;""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72" s="57" t="str">
        <f>VLOOKUP($A172,Questions!$A$3:$X$333,20,0)&amp;""</f>
        <v>A security program with limited resources for active prevention is inefficient. Inquiries should include training for staff, reasoning behind not using IPS technologies, and how systems are actively protected and how malicious activity is stopped.</v>
      </c>
    </row>
    <row r="173" spans="1:5" ht="60.75" customHeight="1" x14ac:dyDescent="0.3">
      <c r="A173" s="57" t="s">
        <v>284</v>
      </c>
      <c r="B173" s="57" t="str">
        <f>VLOOKUP($A173,Questions!$A$3:$X$333,2,0)&amp;""</f>
        <v>Do you employ host-based intrusion prevention?</v>
      </c>
      <c r="C173" s="57" t="str">
        <f>VLOOKUP($A173,Questions!$A$3:$X$333,19,0)&amp;""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73" s="57" t="str">
        <f>VLOOKUP($A173,Questions!$A$3:$X$333,20,0)&amp;""</f>
        <v>Ask the solution provider to summarize why host-based intrusion prevention tools are not implemented in their environment. What compensating controls are in place to detect malicious activity and to actively prevent its function?</v>
      </c>
    </row>
    <row r="174" spans="1:5" ht="72.75" customHeight="1" x14ac:dyDescent="0.3">
      <c r="A174" s="57" t="s">
        <v>286</v>
      </c>
      <c r="B174" s="57" t="str">
        <f>VLOOKUP($A174,Questions!$A$3:$X$333,2,0)&amp;""</f>
        <v>Are you employing any next-generation persistent threat (NGPT) monitoring?</v>
      </c>
      <c r="C174" s="57" t="str">
        <f>VLOOKUP($A174,Questions!$A$3:$X$333,19,0)&amp;""</f>
        <v>This question is primarily focused on determining the maturity of a solution provider's security program and their ability to implement and operate cutting-edge technologies. Investment in advanced technologies may indicate appropriate security program capabilities.</v>
      </c>
      <c r="D174" s="57" t="str">
        <f>VLOOKUP($A174,Questions!$A$3:$X$333,20,0)&amp;""</f>
        <v>Follow-up inquiries for next-generation persistent threat monitoring will be institution/implementation specific.</v>
      </c>
    </row>
    <row r="175" spans="1:5" ht="72.75" customHeight="1" x14ac:dyDescent="0.3">
      <c r="A175" s="57" t="s">
        <v>288</v>
      </c>
      <c r="B175" s="57" t="str">
        <f>VLOOKUP($A175,Questions!$A$3:$X$333,2,0)&amp;""</f>
        <v>Is intrusion monitoring performed internally or by a third-party service?</v>
      </c>
      <c r="C175" s="57" t="str">
        <f>VLOOKUP($A175,Questions!$A$3:$X$333,19,0)&amp;""</f>
        <v>This question is primarily focused on the capability of a solution provider's security program. Understanding the size and skillsets of a solution provider (taken from other responses) is needed to determine the appropriateness of the solution provider's response to this question.</v>
      </c>
      <c r="D175" s="57" t="str">
        <f>VLOOKUP($A175,Questions!$A$3:$X$333,20,0)&amp;""</f>
        <v>Follow-up inquiries for intrusion monitoring will be institution/implementation specific.</v>
      </c>
    </row>
    <row r="176" spans="1:5" ht="66.75" customHeight="1" x14ac:dyDescent="0.3">
      <c r="A176" s="57" t="s">
        <v>290</v>
      </c>
      <c r="B176" s="57" t="str">
        <f>VLOOKUP($A176,Questions!$A$3:$X$333,2,0)&amp;""</f>
        <v>Do you monitor for intrusions on a 24 x 7 x 365 basis?</v>
      </c>
      <c r="C176" s="57" t="str">
        <f>VLOOKUP($A176,Questions!$A$3:$X$333,19,0)&amp;""</f>
        <v>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v>
      </c>
      <c r="D176" s="57" t="str">
        <f>VLOOKUP($A176,Questions!$A$3:$X$333,20,0)&amp;""</f>
        <v>Follow-up inquiries for 24 x 7 x 365 monitoring will be institution/implementation specific.</v>
      </c>
    </row>
    <row r="177" spans="1:5" ht="17.5" x14ac:dyDescent="0.3">
      <c r="A177" s="63" t="str">
        <f>VLOOKUP(LEFT($A178,4),'Auto Responses'!$N$4:$O$38,2,0)&amp;""</f>
        <v xml:space="preserve"> Incident Handling</v>
      </c>
      <c r="B177" s="63"/>
      <c r="C177" s="56" t="str">
        <f>Questions!$S$2</f>
        <v>Reason for Question</v>
      </c>
      <c r="D177" s="56" t="str">
        <f>Questions!$T$2</f>
        <v>Follow-Up Inquiries/Responses</v>
      </c>
    </row>
    <row r="178" spans="1:5" ht="100.5" customHeight="1" x14ac:dyDescent="0.25">
      <c r="A178" s="57" t="s">
        <v>292</v>
      </c>
      <c r="B178" s="57" t="str">
        <f>VLOOKUP($A178,Questions!$A$3:$X$333,2,0)&amp;""</f>
        <v>Do you have a formal incident response plan?</v>
      </c>
      <c r="C178" s="57" t="str">
        <f>VLOOKUP($A178,Questions!$A$3:$X$333,19,0)&amp;""</f>
        <v>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v>
      </c>
      <c r="D178" s="57" t="str">
        <f>VLOOKUP($A178,Questions!$A$3:$X$333,20,0)&amp;""</f>
        <v>If the solution provider does not have an incident response plan, direct them to the NIST Computer Security Incident Handling Guide &lt;https://csrc.nist.gov/publications/detail/sp/800-61/rev-2/final&gt;.</v>
      </c>
      <c r="E178" s="237" t="s">
        <v>665</v>
      </c>
    </row>
    <row r="179" spans="1:5" ht="60.75" customHeight="1" x14ac:dyDescent="0.3">
      <c r="A179" s="57" t="s">
        <v>294</v>
      </c>
      <c r="B179" s="57" t="str">
        <f>VLOOKUP($A179,Questions!$A$3:$X$333,2,0)&amp;""</f>
        <v>Do you either have an internal incident response team or retain an external team?</v>
      </c>
      <c r="C179" s="57" t="str">
        <f>VLOOKUP($A179,Questions!$A$3:$X$333,19,0)&amp;""</f>
        <v>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v>
      </c>
      <c r="D179" s="57" t="str">
        <f>VLOOKUP($A179,Questions!$A$3:$X$333,20,0)&amp;""</f>
        <v>If the solution provider does not have an incident response plan, direct them to the NIST Computer Security Incident Handling Guide &lt;https://csrc.nist.gov/publications/detail/sp/800-61/rev-2/final&gt;.</v>
      </c>
    </row>
    <row r="180" spans="1:5" ht="69" customHeight="1" x14ac:dyDescent="0.3">
      <c r="A180" s="57" t="s">
        <v>296</v>
      </c>
      <c r="B180" s="57" t="str">
        <f>VLOOKUP($A180,Questions!$A$3:$X$333,2,0)&amp;""</f>
        <v>Do you have the capability to respond to incidents on a 24 x 7 x 365 basis?</v>
      </c>
      <c r="C180" s="57" t="str">
        <f>VLOOKUP($A180,Questions!$A$3:$X$333,19,0)&amp;""</f>
        <v>The incident team structure (internal vs. external), size, and capabilities of a solution provider have a significant impact on their ability to respond to and protect an institution's data. Use the knowledge of this response when evaluating other solution provider statements.</v>
      </c>
      <c r="D180" s="57" t="str">
        <f>VLOOKUP($A180,Questions!$A$3:$X$333,20,0)&amp;""</f>
        <v>If the solution provider does not have an incident response team, direct them to the NIST Computer Security Incident Handling Guide &lt;https://csrc.nist.gov/publications/detail/sp/800-61/rev-2/final&gt;.</v>
      </c>
    </row>
    <row r="181" spans="1:5" ht="78" customHeight="1" x14ac:dyDescent="0.3">
      <c r="A181" s="57" t="s">
        <v>298</v>
      </c>
      <c r="B181" s="57" t="str">
        <f>VLOOKUP($A181,Questions!$A$3:$X$333,2,0)&amp;""</f>
        <v>Do you carry cyber-risk insurance to protect against unforeseen service outages, data that is lost or stolen, and security incidents?</v>
      </c>
      <c r="C181" s="57" t="str">
        <f>VLOOKUP($A181,Questions!$A$3:$X$333,19,0)&amp;""</f>
        <v>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v>
      </c>
      <c r="D181" s="57" t="str">
        <f>VLOOKUP($A181,Questions!$A$3:$X$333,20,0)&amp;""</f>
        <v>If the solution provider does not have an incident response plan, point them to the NIST Computer Security Incident Handling Guide &lt;https://csrc.nist.gov/publications/detail/sp/800-61/rev-2/final&gt;.</v>
      </c>
      <c r="E181" s="51"/>
    </row>
    <row r="182" spans="1:5" ht="17.5" x14ac:dyDescent="0.3">
      <c r="A182" s="63" t="str">
        <f>VLOOKUP(LEFT($A183,4),'Auto Responses'!$N$4:$O$38,2,0)&amp;""</f>
        <v xml:space="preserve"> Vulnerability Management</v>
      </c>
      <c r="B182" s="63"/>
      <c r="C182" s="56" t="str">
        <f>Questions!$S$2</f>
        <v>Reason for Question</v>
      </c>
      <c r="D182" s="56" t="str">
        <f>Questions!$T$2</f>
        <v>Follow-Up Inquiries/Responses</v>
      </c>
      <c r="E182" s="58"/>
    </row>
    <row r="183" spans="1:5" ht="65.25" customHeight="1" x14ac:dyDescent="0.3">
      <c r="A183" s="57" t="s">
        <v>300</v>
      </c>
      <c r="B183" s="57" t="str">
        <f>VLOOKUP($A183,Questions!$A$3:$X$333,2,0)&amp;""</f>
        <v>Are your systems and applications scanned with an authenticated user account for vulnerabilities (that are remediated) prior to new releases?*</v>
      </c>
      <c r="C183" s="57" t="str">
        <f>VLOOKUP($A183,Questions!$A$3:$X$333,19,0)&amp;""</f>
        <v>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183" s="57" t="str">
        <f>VLOOKUP($A183,Questions!$A$3:$X$333,20,0)&amp;""</f>
        <v>Ask if there are plans to implement these processes. Ask the solution provider to summarize their decision behind not scanning their applications for vulnerabilities prior to release.</v>
      </c>
    </row>
    <row r="184" spans="1:5" ht="58.5" customHeight="1" x14ac:dyDescent="0.3">
      <c r="A184" s="57" t="s">
        <v>301</v>
      </c>
      <c r="B184" s="57" t="str">
        <f>VLOOKUP($A184,Questions!$A$3:$X$333,2,0)&amp;""</f>
        <v>Will you provide results of application and system vulnerability scans to the institution?*</v>
      </c>
      <c r="C184" s="57" t="str">
        <f>VLOOKUP($A184,Questions!$A$3:$X$333,19,0)&amp;""</f>
        <v>If a solution provider is scanning its applications and/or systems, oftentimes an institution will want to review the report, if possible. Preferably, any finding on the reports will have a matching mitigation action.</v>
      </c>
      <c r="D184" s="57" t="str">
        <f>VLOOKUP($A184,Questions!$A$3:$X$333,20,0)&amp;""</f>
        <v>If a solution provider is hesitant to share the report, ask for a summarized version; some insight is better than none.</v>
      </c>
    </row>
    <row r="185" spans="1:5" ht="65.25" customHeight="1" x14ac:dyDescent="0.3">
      <c r="A185" s="57" t="s">
        <v>303</v>
      </c>
      <c r="B185" s="57" t="str">
        <f>VLOOKUP($A185,Questions!$A$3:$X$333,2,0)&amp;""</f>
        <v>Will you allow the institution to perform its own vulnerability testing and/or scanning of your systems and/or application, provided that testing is performed at a mutually agreed upon time and date?*</v>
      </c>
      <c r="C185" s="57" t="str">
        <f>VLOOKUP($A185,Questions!$A$3:$X$333,19,0)&amp;""</f>
        <v>Many higher education institutions are capable of performing vulnerability assessments and/or penetration testing on their solution providers' infrastructures. This question confirms the possibility of conducting these actions against the solution provider's infrastructure.</v>
      </c>
      <c r="D185" s="57" t="str">
        <f>VLOOKUP($A185,Questions!$A$3:$X$333,20,0)&amp;""</f>
        <v>Follow-up inquiries for vulnerability scanning and penetration testing will be institution/implementation specific.</v>
      </c>
    </row>
    <row r="186" spans="1:5" ht="85.5" customHeight="1" x14ac:dyDescent="0.3">
      <c r="A186" s="57" t="s">
        <v>305</v>
      </c>
      <c r="B186" s="57" t="str">
        <f>VLOOKUP($A186,Questions!$A$3:$X$333,2,0)&amp;""</f>
        <v>Have your systems and applications had a third-party security assessment completed in the last year?</v>
      </c>
      <c r="C186" s="57" t="str">
        <f>VLOOKUP($A186,Questions!$A$3:$X$333,19,0)&amp;""</f>
        <v>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86" s="57" t="str">
        <f>VLOOKUP($A186,Questions!$A$3:$X$333,20,0)&amp;""</f>
        <v>Ask if there has ever been a vulnerability scan. A short lapse in external assessment validity can be understood (if there is a planned assessment), but a significant time lapse or no scan whatsoever is cause for elevated levels of concern.</v>
      </c>
    </row>
    <row r="187" spans="1:5" ht="67.5" x14ac:dyDescent="0.3">
      <c r="A187" s="57" t="s">
        <v>307</v>
      </c>
      <c r="B187" s="57" t="str">
        <f>VLOOKUP($A187,Questions!$A$3:$X$333,2,0)&amp;""</f>
        <v>Do you regularly scan for common web application security vulnerabilities (e.g., SQL injection, XSS, XSRF, etc.)?</v>
      </c>
      <c r="C187" s="57" t="str">
        <f>VLOOKUP($A187,Questions!$A$3:$X$333,19,0)&amp;""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v>
      </c>
      <c r="D187" s="57" t="str">
        <f>VLOOKUP($A187,Questions!$A$3:$X$333,20,0)&amp;""</f>
        <v>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v>
      </c>
    </row>
    <row r="188" spans="1:5" ht="91.5" customHeight="1" x14ac:dyDescent="0.3">
      <c r="A188" s="57" t="s">
        <v>308</v>
      </c>
      <c r="B188" s="57" t="str">
        <f>VLOOKUP($A188,Questions!$A$3:$X$333,2,0)&amp;""</f>
        <v>Are your systems and applications regularly scanned externally for vulnerabilities?</v>
      </c>
      <c r="C188" s="57" t="str">
        <f>VLOOKUP($A188,Questions!$A$3:$X$333,19,0)&amp;""</f>
        <v>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88" s="57" t="str">
        <f>VLOOKUP($A188,Questions!$A$3:$X$333,20,0)&amp;""</f>
        <v>If "no," inquire if there has ever been a vulnerability scan. A short lapse in external assessment validity can be understood (if there is a planned assessment), but a significant time lapse or no scan whatsoever is cause for elevated levels of concern.</v>
      </c>
    </row>
    <row r="189" spans="1:5" ht="17.5" x14ac:dyDescent="0.3">
      <c r="A189" s="63" t="str">
        <f>VLOOKUP(LEFT($A190,4),'Auto Responses'!$N$4:$O$38,2,0)&amp;""</f>
        <v xml:space="preserve"> IT Accessibility</v>
      </c>
      <c r="B189" s="63"/>
      <c r="C189" s="56" t="str">
        <f>Questions!$S$2</f>
        <v>Reason for Question</v>
      </c>
      <c r="D189" s="56" t="str">
        <f>Questions!$T$2</f>
        <v>Follow-Up Inquiries/Responses</v>
      </c>
    </row>
    <row r="190" spans="1:5" x14ac:dyDescent="0.3">
      <c r="A190" s="57" t="s">
        <v>311</v>
      </c>
      <c r="B190" s="57" t="str">
        <f>VLOOKUP($A190,Questions!$A$3:$X$333,2,0)&amp;""</f>
        <v>Solution Provider Accessibility Contact Name</v>
      </c>
      <c r="C190" s="57" t="str">
        <f>VLOOKUP($A190,Questions!$A$3:$X$333,19,0)&amp;""</f>
        <v/>
      </c>
      <c r="D190" s="57" t="str">
        <f>VLOOKUP($A190,Questions!$A$3:$X$333,20,0)&amp;""</f>
        <v/>
      </c>
      <c r="E190" s="60"/>
    </row>
    <row r="191" spans="1:5" x14ac:dyDescent="0.3">
      <c r="A191" s="57" t="s">
        <v>313</v>
      </c>
      <c r="B191" s="57" t="str">
        <f>VLOOKUP($A191,Questions!$A$3:$X$333,2,0)&amp;""</f>
        <v>Solution Provider Accessibility Contact Title</v>
      </c>
      <c r="C191" s="57" t="str">
        <f>VLOOKUP($A191,Questions!$A$3:$X$333,19,0)&amp;""</f>
        <v/>
      </c>
      <c r="D191" s="57" t="str">
        <f>VLOOKUP($A191,Questions!$A$3:$X$333,20,0)&amp;""</f>
        <v/>
      </c>
    </row>
    <row r="192" spans="1:5" x14ac:dyDescent="0.3">
      <c r="A192" s="57" t="s">
        <v>314</v>
      </c>
      <c r="B192" s="57" t="str">
        <f>VLOOKUP($A192,Questions!$A$3:$X$333,2,0)&amp;""</f>
        <v>Solution Provider Accessibility Contact Email</v>
      </c>
      <c r="C192" s="57" t="str">
        <f>VLOOKUP($A192,Questions!$A$3:$X$333,19,0)&amp;""</f>
        <v/>
      </c>
      <c r="D192" s="57" t="str">
        <f>VLOOKUP($A192,Questions!$A$3:$X$333,20,0)&amp;""</f>
        <v/>
      </c>
    </row>
    <row r="193" spans="1:5" x14ac:dyDescent="0.3">
      <c r="A193" s="57" t="s">
        <v>316</v>
      </c>
      <c r="B193" s="57" t="str">
        <f>VLOOKUP($A193,Questions!$A$3:$X$333,2,0)&amp;""</f>
        <v>Solution Provider Accessibility Contact Phone Number</v>
      </c>
      <c r="C193" s="57" t="str">
        <f>VLOOKUP($A193,Questions!$A$3:$X$333,19,0)&amp;""</f>
        <v/>
      </c>
      <c r="D193" s="57" t="str">
        <f>VLOOKUP($A193,Questions!$A$3:$X$333,20,0)&amp;""</f>
        <v/>
      </c>
      <c r="E193" s="51"/>
    </row>
    <row r="194" spans="1:5" x14ac:dyDescent="0.25">
      <c r="A194" s="57" t="s">
        <v>317</v>
      </c>
      <c r="B194" s="57" t="str">
        <f>VLOOKUP($A194,Questions!$A$3:$X$333,2,0)&amp;""</f>
        <v>Web Link to Accessibility Statement or VPAT</v>
      </c>
      <c r="C194" s="57" t="str">
        <f>VLOOKUP($A194,Questions!$A$3:$X$333,19,0)&amp;""</f>
        <v/>
      </c>
      <c r="D194" s="57" t="str">
        <f>VLOOKUP($A194,Questions!$A$3:$X$333,20,0)&amp;""</f>
        <v/>
      </c>
      <c r="E194" s="237" t="s">
        <v>665</v>
      </c>
    </row>
    <row r="195" spans="1:5" ht="81" x14ac:dyDescent="0.3">
      <c r="A195" s="57" t="s">
        <v>319</v>
      </c>
      <c r="B195" s="57" t="str">
        <f>VLOOKUP($A195,Questions!$A$3:$X$333,2,0)&amp;""</f>
        <v>Has a VPAT or ACR been created or updated for the solution and version under consideration within the past 12 months?*</v>
      </c>
      <c r="C195" s="57" t="str">
        <f>VLOOKUP($A195,Questions!$A$3:$X$333,19,0)&amp;""</f>
        <v>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v>
      </c>
      <c r="D195" s="57" t="str">
        <f>VLOOKUP($A195,Questions!$A$3:$X$333,20,0)&amp;""</f>
        <v>Cross-reference Accessibility Conformance Reports (ACR) with any answers from ITAC-14 about product roadmaps for accessibility improvements.</v>
      </c>
    </row>
    <row r="196" spans="1:5" ht="74.25" customHeight="1" x14ac:dyDescent="0.3">
      <c r="A196" s="57" t="s">
        <v>321</v>
      </c>
      <c r="B196" s="57" t="str">
        <f>VLOOKUP($A196,Questions!$A$3:$X$333,2,0)&amp;""</f>
        <v>Will your company agree to meet your stated accessibility standard or WCAG 2.1 AA as part of your contractual agreement for the solution?*</v>
      </c>
      <c r="C196" s="57" t="str">
        <f>VLOOKUP($A196,Questions!$A$3:$X$333,19,0)&amp;""</f>
        <v xml:space="preserve">Federal regulation requires that technology products conform to WCAG 2.1 AA. Technology platforms that do not substantially conform to this standard put schools at risk of not complying with these requirements. </v>
      </c>
      <c r="D196" s="57" t="str">
        <f>VLOOKUP($A196,Questions!$A$3:$X$333,20,0)&amp;""</f>
        <v/>
      </c>
    </row>
    <row r="197" spans="1:5" ht="57.75" customHeight="1" x14ac:dyDescent="0.3">
      <c r="A197" s="57" t="s">
        <v>322</v>
      </c>
      <c r="B197" s="57" t="str">
        <f>VLOOKUP($A197,Questions!$A$3:$X$333,2,0)&amp;""</f>
        <v>Does the solution substantially conform to WCAG 2.1 AA?*</v>
      </c>
      <c r="C197" s="57" t="str">
        <f>VLOOKUP($A197,Questions!$A$3:$X$333,19,0)&amp;""</f>
        <v xml:space="preserve">Federal regulation requires that technology products conform to WCAG 2.1 AA. Technology platforms that do not substantially conform to this standard put schools at risk of not complying with these requirements. </v>
      </c>
      <c r="D197" s="57" t="str">
        <f>VLOOKUP($A197,Questions!$A$3:$X$333,20,0)&amp;""</f>
        <v/>
      </c>
    </row>
    <row r="198" spans="1:5" ht="74.25" customHeight="1" x14ac:dyDescent="0.3">
      <c r="A198" s="57" t="s">
        <v>323</v>
      </c>
      <c r="B198" s="57" t="str">
        <f>VLOOKUP($A198,Questions!$A$3:$X$333,2,0)&amp;""</f>
        <v>Do you have a documented and implemented process for reporting and tracking accessibility issues?*</v>
      </c>
      <c r="C198" s="57" t="str">
        <f>VLOOKUP($A198,Questions!$A$3:$X$333,19,0)&amp;""</f>
        <v/>
      </c>
      <c r="D198" s="57" t="str">
        <f>VLOOKUP($A198,Questions!$A$3:$X$333,20,0)&amp;""</f>
        <v>What is the prioritization of accessibility issues received, and how are they tracked? Is there a regular cadence for tracking and addressing accessibility barriers?</v>
      </c>
    </row>
    <row r="199" spans="1:5" ht="81" customHeight="1" x14ac:dyDescent="0.25">
      <c r="A199" s="57" t="s">
        <v>325</v>
      </c>
      <c r="B199" s="57" t="str">
        <f>VLOOKUP($A199,Questions!$A$3:$X$333,2,0)&amp;""</f>
        <v>Do you have documentation to support the accessibility features of your solution?</v>
      </c>
      <c r="C199" s="57" t="str">
        <f>VLOOKUP($A199,Questions!$A$3:$X$333,19,0)&amp;""</f>
        <v>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v>
      </c>
      <c r="D199" s="57" t="str">
        <f>VLOOKUP($A199,Questions!$A$3:$X$333,20,0)&amp;""</f>
        <v>If claims are made about accessibility and there is no supporting documentation on how they can be achieved, ensure that intended configurations and uses of the product in question were assessed for any accessibility documentation or claims.</v>
      </c>
      <c r="E199" s="237" t="s">
        <v>665</v>
      </c>
    </row>
    <row r="200" spans="1:5" ht="54" x14ac:dyDescent="0.3">
      <c r="A200" s="57" t="s">
        <v>327</v>
      </c>
      <c r="B200" s="57" t="str">
        <f>VLOOKUP($A200,Questions!$A$3:$X$333,2,0)&amp;""</f>
        <v>Has a third-party expert conducted an audit of the most recent version of your solution?</v>
      </c>
      <c r="C200" s="57" t="str">
        <f>VLOOKUP($A200,Questions!$A$3:$X$333,19,0)&amp;""</f>
        <v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v>
      </c>
      <c r="D200" s="57" t="str">
        <f>VLOOKUP($A200,Questions!$A$3:$X$333,20,0)&amp;""</f>
        <v/>
      </c>
    </row>
    <row r="201" spans="1:5" ht="94.5" x14ac:dyDescent="0.3">
      <c r="A201" s="57" t="s">
        <v>328</v>
      </c>
      <c r="B201" s="57" t="str">
        <f>VLOOKUP($A201,Questions!$A$3:$X$333,2,0)&amp;""</f>
        <v>Do you have a documented and implemented process for verifying accessibility conformance?</v>
      </c>
      <c r="C201" s="57" t="str">
        <f>VLOOKUP($A201,Questions!$A$3:$X$333,19,0)&amp;""</f>
        <v>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v>
      </c>
      <c r="D201" s="57" t="str">
        <f>VLOOKUP($A201,Questions!$A$3:$X$333,20,0)&amp;""</f>
        <v/>
      </c>
    </row>
    <row r="202" spans="1:5" ht="62.25" customHeight="1" x14ac:dyDescent="0.3">
      <c r="A202" s="57" t="s">
        <v>330</v>
      </c>
      <c r="B202" s="57" t="str">
        <f>VLOOKUP($A202,Questions!$A$3:$X$333,2,0)&amp;""</f>
        <v>Have you adopted a technical or legal standard of conformance for the solution?</v>
      </c>
      <c r="C202" s="57" t="str">
        <f>VLOOKUP($A202,Questions!$A$3:$X$333,19,0)&amp;""</f>
        <v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v>
      </c>
      <c r="D202" s="57" t="str">
        <f>VLOOKUP($A202,Questions!$A$3:$X$333,20,0)&amp;""</f>
        <v/>
      </c>
    </row>
    <row r="203" spans="1:5" ht="66" customHeight="1" x14ac:dyDescent="0.3">
      <c r="A203" s="57" t="s">
        <v>332</v>
      </c>
      <c r="B203" s="57" t="str">
        <f>VLOOKUP($A203,Questions!$A$3:$X$333,2,0)&amp;""</f>
        <v>Can you provide a current, detailed accessibility roadmap with delivery timelines?</v>
      </c>
      <c r="C203" s="57" t="str">
        <f>VLOOKUP($A203,Questions!$A$3:$X$333,19,0)&amp;""</f>
        <v>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v>
      </c>
      <c r="D203" s="57" t="str">
        <f>VLOOKUP($A203,Questions!$A$3:$X$333,20,0)&amp;""</f>
        <v>If no roadmap is available, seek additional information from the solution provider such as release notes that address accessibility and any feedback from users that address the accessibility of the solution.</v>
      </c>
    </row>
    <row r="204" spans="1:5" ht="98.25" customHeight="1" x14ac:dyDescent="0.3">
      <c r="A204" s="57" t="s">
        <v>334</v>
      </c>
      <c r="B204" s="57" t="str">
        <f>VLOOKUP($A204,Questions!$A$3:$X$333,2,0)&amp;""</f>
        <v>Do you expect your staff to maintain a current skill set in IT accessibility?</v>
      </c>
      <c r="C204" s="57" t="str">
        <f>VLOOKUP($A204,Questions!$A$3:$X$333,19,0)&amp;""</f>
        <v>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v>
      </c>
      <c r="D204" s="57" t="str">
        <f>VLOOKUP($A204,Questions!$A$3:$X$333,20,0)&amp;""</f>
        <v/>
      </c>
    </row>
    <row r="205" spans="1:5" ht="81" customHeight="1" x14ac:dyDescent="0.3">
      <c r="A205" s="57" t="s">
        <v>336</v>
      </c>
      <c r="B205" s="57" t="str">
        <f>VLOOKUP($A205,Questions!$A$3:$X$333,2,0)&amp;""</f>
        <v>Do you have documented processes and procedures for implementing accessibility into your development lifecycle?</v>
      </c>
      <c r="C205" s="57" t="str">
        <f>VLOOKUP($A205,Questions!$A$3:$X$333,19,0)&amp;""</f>
        <v>This question is designed to understand how accessibility is included in new versions and features of solutions, particularly with solution providers that implement Agile or similar methodologies where software is updated frequently and continuously.</v>
      </c>
      <c r="D205" s="57" t="str">
        <f>VLOOKUP($A205,Questions!$A$3:$X$333,20,0)&amp;""</f>
        <v/>
      </c>
    </row>
    <row r="206" spans="1:5" ht="89.25" customHeight="1" x14ac:dyDescent="0.25">
      <c r="A206" s="57" t="s">
        <v>338</v>
      </c>
      <c r="B206" s="57" t="str">
        <f>VLOOKUP($A206,Questions!$A$3:$X$333,2,0)&amp;""</f>
        <v>Can all functions of the application or service be performed using only the keyboard?</v>
      </c>
      <c r="C206" s="57" t="str">
        <f>VLOOKUP($A206,Questions!$A$3:$X$333,19,0)&amp;""</f>
        <v>One critical accessibility requirement is the full use of a product using only the keyboard, -no mouse or trackpad. This requirement is easy for a nontechnical or non-accessibility expert to understand and verify.</v>
      </c>
      <c r="D206" s="57" t="str">
        <f>VLOOKUP($A206,Questions!$A$3:$X$333,20,0)&amp;""</f>
        <v>To confirm keyboard-only claims, follow the how-to at Minimum Expectations for applications webpage &lt;https://go.iu.edu/minimum-expectations&gt; from Indiana University or reference WebAIM’s Keyboard Testing guidance &lt;https://webaim.org/techniques/keyboard/#testing&gt;.</v>
      </c>
      <c r="E206" s="237" t="s">
        <v>665</v>
      </c>
    </row>
    <row r="207" spans="1:5" ht="67.5" x14ac:dyDescent="0.3">
      <c r="A207" s="57" t="s">
        <v>340</v>
      </c>
      <c r="B207" s="57" t="str">
        <f>VLOOKUP($A207,Questions!$A$3:$X$333,2,0)&amp;""</f>
        <v>Does your product rely on activating a special "accessibility mode," a "lite version," or using an alternate interface (including “overlay” or AI-based alternates)  for accessibility purposes?</v>
      </c>
      <c r="C207" s="57" t="str">
        <f>VLOOKUP($A207,Questions!$A$3:$X$333,19,0)&amp;""</f>
        <v>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v>
      </c>
      <c r="D207" s="57" t="str">
        <f>VLOOKUP($A207,Questions!$A$3:$X$333,20,0)&amp;""</f>
        <v/>
      </c>
    </row>
    <row r="208" spans="1:5" ht="17.5" x14ac:dyDescent="0.3">
      <c r="A208" s="63" t="str">
        <f>VLOOKUP(LEFT($A209,4),'Auto Responses'!$N$4:$O$38,2,0)&amp;""</f>
        <v xml:space="preserve"> Consulting Services</v>
      </c>
      <c r="B208" s="63"/>
      <c r="C208" s="56" t="str">
        <f>Questions!$S$2</f>
        <v>Reason for Question</v>
      </c>
      <c r="D208" s="56" t="str">
        <f>Questions!$T$2</f>
        <v>Follow-Up Inquiries/Responses</v>
      </c>
      <c r="E208" s="60"/>
    </row>
    <row r="209" spans="1:5" ht="40.5" x14ac:dyDescent="0.3">
      <c r="A209" s="57" t="s">
        <v>342</v>
      </c>
      <c r="B209" s="57" t="str">
        <f>VLOOKUP($A209,Questions!$A$3:$X$333,2,0)&amp;""</f>
        <v>Will the consultant require access to the institution's network resources?*</v>
      </c>
      <c r="C209" s="57" t="str">
        <f>VLOOKUP($A209,Questions!$A$3:$X$333,19,0)&amp;""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9" s="57" t="str">
        <f>VLOOKUP($A209,Questions!$A$3:$X$333,20,0)&amp;""</f>
        <v>Follow-up inquiries will be institution/implementation specific.</v>
      </c>
      <c r="E209" s="60"/>
    </row>
    <row r="210" spans="1:5" ht="40.5" x14ac:dyDescent="0.3">
      <c r="A210" s="57" t="s">
        <v>344</v>
      </c>
      <c r="B210" s="57" t="str">
        <f>VLOOKUP($A210,Questions!$A$3:$X$333,2,0)&amp;""</f>
        <v>Has the consultant received training on (sensitive, HIPAA, PCI, etc.) data handling?*</v>
      </c>
      <c r="C210" s="57" t="str">
        <f>VLOOKUP($A210,Questions!$A$3:$X$333,19,0)&amp;""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0" s="57" t="str">
        <f>VLOOKUP($A210,Questions!$A$3:$X$333,20,0)&amp;""</f>
        <v>Follow-up inquiries will be institution/implementation specific.</v>
      </c>
      <c r="E210" s="58"/>
    </row>
    <row r="211" spans="1:5" ht="40.5" x14ac:dyDescent="0.3">
      <c r="A211" s="57" t="s">
        <v>346</v>
      </c>
      <c r="B211" s="57" t="str">
        <f>VLOOKUP($A211,Questions!$A$3:$X$333,2,0)&amp;""</f>
        <v>Is the data encrypted (at rest) while in the consultant's possession?*</v>
      </c>
      <c r="C211" s="57" t="str">
        <f>VLOOKUP($A211,Questions!$A$3:$X$333,19,0)&amp;""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1" s="57" t="str">
        <f>VLOOKUP($A211,Questions!$A$3:$X$333,20,0)&amp;""</f>
        <v>Follow-up inquiries will be institution/implementation specific.</v>
      </c>
    </row>
    <row r="212" spans="1:5" ht="40.5" x14ac:dyDescent="0.3">
      <c r="A212" s="57" t="s">
        <v>348</v>
      </c>
      <c r="B212" s="57" t="str">
        <f>VLOOKUP($A212,Questions!$A$3:$X$333,2,0)&amp;""</f>
        <v>Can access be restricted based on source IP address?*</v>
      </c>
      <c r="C212" s="57" t="str">
        <f>VLOOKUP($A212,Questions!$A$3:$X$333,19,0)&amp;""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2" s="57" t="str">
        <f>VLOOKUP($A212,Questions!$A$3:$X$333,20,0)&amp;""</f>
        <v>Follow-up inquiries will be institution/implementation specific.</v>
      </c>
      <c r="E212" s="60"/>
    </row>
    <row r="213" spans="1:5" ht="40.5" x14ac:dyDescent="0.3">
      <c r="A213" s="57" t="s">
        <v>350</v>
      </c>
      <c r="B213" s="57" t="str">
        <f>VLOOKUP($A213,Questions!$A$3:$X$333,2,0)&amp;""</f>
        <v>Will the consulting take place on-premises?</v>
      </c>
      <c r="C213" s="57" t="str">
        <f>VLOOKUP($A213,Questions!$A$3:$X$333,19,0)&amp;""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3" s="57" t="str">
        <f>VLOOKUP($A213,Questions!$A$3:$X$333,20,0)&amp;""</f>
        <v>Follow-up inquiries will be institution/implementation specific.</v>
      </c>
      <c r="E213" s="60"/>
    </row>
    <row r="214" spans="1:5" ht="40.5" x14ac:dyDescent="0.3">
      <c r="A214" s="57" t="s">
        <v>351</v>
      </c>
      <c r="B214" s="57" t="str">
        <f>VLOOKUP($A214,Questions!$A$3:$X$333,2,0)&amp;""</f>
        <v>Will the consultant require access to hardware in the institution's data centers?</v>
      </c>
      <c r="C214" s="57" t="str">
        <f>VLOOKUP($A214,Questions!$A$3:$X$333,19,0)&amp;""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4" s="57" t="str">
        <f>VLOOKUP($A214,Questions!$A$3:$X$333,20,0)&amp;""</f>
        <v>Follow-up inquiries will be institution/implementation specific.</v>
      </c>
      <c r="E214" s="60"/>
    </row>
    <row r="215" spans="1:5" ht="40.5" x14ac:dyDescent="0.3">
      <c r="A215" s="57" t="s">
        <v>352</v>
      </c>
      <c r="B215" s="57" t="str">
        <f>VLOOKUP($A215,Questions!$A$3:$X$333,2,0)&amp;""</f>
        <v>Will the consultant require an account within the institution's domain (@*.edu)?</v>
      </c>
      <c r="C215" s="57" t="str">
        <f>VLOOKUP($A215,Questions!$A$3:$X$333,19,0)&amp;""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5" s="57" t="str">
        <f>VLOOKUP($A215,Questions!$A$3:$X$333,20,0)&amp;""</f>
        <v>Follow-up inquiries will be institution/implementation specific.</v>
      </c>
      <c r="E215" s="58"/>
    </row>
    <row r="216" spans="1:5" ht="40.5" x14ac:dyDescent="0.3">
      <c r="A216" s="57" t="s">
        <v>353</v>
      </c>
      <c r="B216" s="57" t="str">
        <f>VLOOKUP($A216,Questions!$A$3:$X$333,2,0)&amp;""</f>
        <v>Will any data be transferred to the consultant's possession?</v>
      </c>
      <c r="C216" s="57" t="str">
        <f>VLOOKUP($A216,Questions!$A$3:$X$333,19,0)&amp;""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6" s="57" t="str">
        <f>VLOOKUP($A216,Questions!$A$3:$X$333,20,0)&amp;""</f>
        <v>Follow-up inquiries will be institution/implementation specific.</v>
      </c>
    </row>
    <row r="217" spans="1:5" ht="40.5" x14ac:dyDescent="0.3">
      <c r="A217" s="57" t="s">
        <v>355</v>
      </c>
      <c r="B217" s="57" t="str">
        <f>VLOOKUP($A217,Questions!$A$3:$X$333,2,0)&amp;""</f>
        <v>Will the consultant need remote access to the institution's network or systems?</v>
      </c>
      <c r="C217" s="57" t="str">
        <f>VLOOKUP($A217,Questions!$A$3:$X$333,19,0)&amp;""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17" s="57" t="str">
        <f>VLOOKUP($A217,Questions!$A$3:$X$333,20,0)&amp;""</f>
        <v>Follow-up inquiries will be institution/implementation specific.</v>
      </c>
    </row>
    <row r="218" spans="1:5" ht="42.75" customHeight="1" x14ac:dyDescent="0.3">
      <c r="A218" s="63" t="str">
        <f>VLOOKUP(LEFT($A219,4),'Auto Responses'!$N$4:$O$38,2,0)&amp;""</f>
        <v xml:space="preserve">HIPAA Compliance </v>
      </c>
      <c r="B218" s="63"/>
      <c r="C218" s="56" t="str">
        <f>Questions!$S$2</f>
        <v>Reason for Question</v>
      </c>
      <c r="D218" s="56" t="str">
        <f>Questions!$T$2</f>
        <v>Follow-Up Inquiries/Responses</v>
      </c>
    </row>
    <row r="219" spans="1:5" ht="53.25" customHeight="1" x14ac:dyDescent="0.3">
      <c r="A219" s="57" t="s">
        <v>356</v>
      </c>
      <c r="B219" s="57" t="str">
        <f>VLOOKUP($A219,Questions!$A$3:$X$333,2,0)&amp;""</f>
        <v>Do your workforce members receive regular training related to the Health Insurance Portability and Accountability Act (HIPAA) Privacy and Security Rules and the HITECH Act?*</v>
      </c>
      <c r="C219" s="57" t="str">
        <f>VLOOKUP($A219,Questions!$A$3:$X$333,19,0)&amp;""</f>
        <v>HIPAA</v>
      </c>
      <c r="D219" s="57" t="str">
        <f>VLOOKUP($A219,Questions!$A$3:$X$333,20,0)&amp;""</f>
        <v>Refer to HIPAA documentation or your institution's Chief HIPAA Security Officer.</v>
      </c>
    </row>
    <row r="220" spans="1:5" ht="39.75" customHeight="1" x14ac:dyDescent="0.3">
      <c r="A220" s="57" t="s">
        <v>357</v>
      </c>
      <c r="B220" s="57" t="str">
        <f>VLOOKUP($A220,Questions!$A$3:$X$333,2,0)&amp;""</f>
        <v>Have you identified areas of risk?*</v>
      </c>
      <c r="C220" s="57" t="str">
        <f>VLOOKUP($A220,Questions!$A$3:$X$333,19,0)&amp;""</f>
        <v>HIPAA</v>
      </c>
      <c r="D220" s="57" t="str">
        <f>VLOOKUP($A220,Questions!$A$3:$X$333,20,0)&amp;""</f>
        <v>Refer to HIPAA documentation or your institution's Chief HIPAA Security Officer.</v>
      </c>
    </row>
    <row r="221" spans="1:5" ht="40.5" customHeight="1" x14ac:dyDescent="0.3">
      <c r="A221" s="57" t="s">
        <v>358</v>
      </c>
      <c r="B221" s="57" t="str">
        <f>VLOOKUP($A221,Questions!$A$3:$X$333,2,0)&amp;""</f>
        <v>Have the relevant policies/plans been tested?*</v>
      </c>
      <c r="C221" s="57" t="str">
        <f>VLOOKUP($A221,Questions!$A$3:$X$333,19,0)&amp;""</f>
        <v>HIPAA</v>
      </c>
      <c r="D221" s="57" t="str">
        <f>VLOOKUP($A221,Questions!$A$3:$X$333,20,0)&amp;""</f>
        <v>Refer to HIPAA documentation or your institution's Chief HIPAA Security Officer.</v>
      </c>
      <c r="E221" s="51"/>
    </row>
    <row r="222" spans="1:5" ht="39" customHeight="1" x14ac:dyDescent="0.3">
      <c r="A222" s="57" t="s">
        <v>359</v>
      </c>
      <c r="B222" s="57" t="str">
        <f>VLOOKUP($A222,Questions!$A$3:$X$333,2,0)&amp;""</f>
        <v>Have you entered into a Business Associate Agreements with all subcontractors who may have access to protected health information (PHI)?*</v>
      </c>
      <c r="C222" s="57" t="str">
        <f>VLOOKUP($A222,Questions!$A$3:$X$333,19,0)&amp;""</f>
        <v>HIPAA</v>
      </c>
      <c r="D222" s="57" t="str">
        <f>VLOOKUP($A222,Questions!$A$3:$X$333,20,0)&amp;""</f>
        <v>Refer to HIPAA documentation or your institution's Chief HIPAA Security Officer.</v>
      </c>
    </row>
    <row r="223" spans="1:5" ht="23.25" customHeight="1" x14ac:dyDescent="0.3">
      <c r="A223" s="57" t="s">
        <v>360</v>
      </c>
      <c r="B223" s="57" t="str">
        <f>VLOOKUP($A223,Questions!$A$3:$X$333,2,0)&amp;""</f>
        <v>Do you monitor or receive information regarding changes in HIPAA regulations?</v>
      </c>
      <c r="C223" s="57" t="str">
        <f>VLOOKUP($A223,Questions!$A$3:$X$333,19,0)&amp;""</f>
        <v>HIPAA</v>
      </c>
      <c r="D223" s="57" t="str">
        <f>VLOOKUP($A223,Questions!$A$3:$X$333,20,0)&amp;""</f>
        <v>Refer to HIPAA documentation or your institution's Chief HIPAA Security Officer.</v>
      </c>
    </row>
    <row r="224" spans="1:5" ht="39.75" customHeight="1" x14ac:dyDescent="0.3">
      <c r="A224" s="57" t="s">
        <v>361</v>
      </c>
      <c r="B224" s="57" t="str">
        <f>VLOOKUP($A224,Questions!$A$3:$X$333,2,0)&amp;""</f>
        <v>Has your organization designated HIPAA Privacy and Security officers as required by the rules?</v>
      </c>
      <c r="C224" s="57" t="str">
        <f>VLOOKUP($A224,Questions!$A$3:$X$333,19,0)&amp;""</f>
        <v>HIPAA</v>
      </c>
      <c r="D224" s="57" t="str">
        <f>VLOOKUP($A224,Questions!$A$3:$X$333,20,0)&amp;""</f>
        <v>Refer to HIPAA documentation or your institution's Chief HIPAA Security Officer.</v>
      </c>
    </row>
    <row r="225" spans="1:5" ht="38.25" customHeight="1" x14ac:dyDescent="0.3">
      <c r="A225" s="57" t="s">
        <v>362</v>
      </c>
      <c r="B225" s="57" t="str">
        <f>VLOOKUP($A225,Questions!$A$3:$X$333,2,0)&amp;""</f>
        <v>Do you comply with the requirements of the Health Information Technology for Economic and Clinical Health Act (HITECH)?</v>
      </c>
      <c r="C225" s="57" t="str">
        <f>VLOOKUP($A225,Questions!$A$3:$X$333,19,0)&amp;""</f>
        <v>HIPAA</v>
      </c>
      <c r="D225" s="57" t="str">
        <f>VLOOKUP($A225,Questions!$A$3:$X$333,20,0)&amp;""</f>
        <v>Refer to HIPAA documentation or your institution's Chief HIPAA Security Officer.</v>
      </c>
    </row>
    <row r="226" spans="1:5" ht="36" customHeight="1" x14ac:dyDescent="0.3">
      <c r="A226" s="57" t="s">
        <v>363</v>
      </c>
      <c r="B226" s="57" t="str">
        <f>VLOOKUP($A226,Questions!$A$3:$X$333,2,0)&amp;""</f>
        <v>Have you conducted a risk analysis as required under the HIPAA Security Rule?</v>
      </c>
      <c r="C226" s="57" t="str">
        <f>VLOOKUP($A226,Questions!$A$3:$X$333,19,0)&amp;""</f>
        <v>HIPAA</v>
      </c>
      <c r="D226" s="57" t="str">
        <f>VLOOKUP($A226,Questions!$A$3:$X$333,20,0)&amp;""</f>
        <v>Refer to HIPAA documentation or your institution's Chief HIPAA Security Officer.</v>
      </c>
    </row>
    <row r="227" spans="1:5" x14ac:dyDescent="0.3">
      <c r="A227" s="57" t="s">
        <v>364</v>
      </c>
      <c r="B227" s="57" t="str">
        <f>VLOOKUP($A227,Questions!$A$3:$X$333,2,0)&amp;""</f>
        <v>Have you taken actions to mitigate the identified risks?</v>
      </c>
      <c r="C227" s="57" t="str">
        <f>VLOOKUP($A227,Questions!$A$3:$X$333,19,0)&amp;""</f>
        <v>HIPAA</v>
      </c>
      <c r="D227" s="57" t="str">
        <f>VLOOKUP($A227,Questions!$A$3:$X$333,20,0)&amp;""</f>
        <v>Refer to HIPAA documentation or your institution's Chief HIPAA Security Officer.</v>
      </c>
    </row>
    <row r="228" spans="1:5" ht="34.5" customHeight="1" x14ac:dyDescent="0.3">
      <c r="A228" s="57" t="s">
        <v>365</v>
      </c>
      <c r="B228" s="57" t="str">
        <f>VLOOKUP($A228,Questions!$A$3:$X$333,2,0)&amp;""</f>
        <v>Does your application require user and system administrator password changes at a frequency no greater than 90 days?</v>
      </c>
      <c r="C228" s="57" t="str">
        <f>VLOOKUP($A228,Questions!$A$3:$X$333,19,0)&amp;""</f>
        <v>HIPAA</v>
      </c>
      <c r="D228" s="57" t="str">
        <f>VLOOKUP($A228,Questions!$A$3:$X$333,20,0)&amp;""</f>
        <v>Refer to HIPAA documentation or your institution's Chief HIPAA Security Officer.</v>
      </c>
      <c r="E228" s="51"/>
    </row>
    <row r="229" spans="1:5" ht="52.5" customHeight="1" x14ac:dyDescent="0.3">
      <c r="A229" s="57" t="s">
        <v>366</v>
      </c>
      <c r="B229" s="57" t="str">
        <f>VLOOKUP($A229,Questions!$A$3:$X$333,2,0)&amp;""</f>
        <v>Does your application require users to set their own password after an administrator reset or on first use of the account?</v>
      </c>
      <c r="C229" s="57" t="str">
        <f>VLOOKUP($A229,Questions!$A$3:$X$333,19,0)&amp;""</f>
        <v>HIPAA</v>
      </c>
      <c r="D229" s="57" t="str">
        <f>VLOOKUP($A229,Questions!$A$3:$X$333,20,0)&amp;""</f>
        <v>Refer to HIPAA documentation or your institution's Chief HIPAA Security Officer.</v>
      </c>
    </row>
    <row r="230" spans="1:5" ht="21" customHeight="1" x14ac:dyDescent="0.3">
      <c r="A230" s="57" t="s">
        <v>367</v>
      </c>
      <c r="B230" s="57" t="str">
        <f>VLOOKUP($A230,Questions!$A$3:$X$333,2,0)&amp;""</f>
        <v>Does your application lock out an account after a number of failed login attempts?</v>
      </c>
      <c r="C230" s="57" t="str">
        <f>VLOOKUP($A230,Questions!$A$3:$X$333,19,0)&amp;""</f>
        <v>HIPAA</v>
      </c>
      <c r="D230" s="57" t="str">
        <f>VLOOKUP($A230,Questions!$A$3:$X$333,20,0)&amp;""</f>
        <v>Refer to HIPAA documentation or your institution's Chief HIPAA Security Officer.</v>
      </c>
    </row>
    <row r="231" spans="1:5" ht="23.25" customHeight="1" x14ac:dyDescent="0.3">
      <c r="A231" s="57" t="s">
        <v>368</v>
      </c>
      <c r="B231" s="57" t="str">
        <f>VLOOKUP($A231,Questions!$A$3:$X$333,2,0)&amp;""</f>
        <v>Does your application automatically lock or log-out an account after a period of inactivity?</v>
      </c>
      <c r="C231" s="57" t="str">
        <f>VLOOKUP($A231,Questions!$A$3:$X$333,19,0)&amp;""</f>
        <v>HIPAA</v>
      </c>
      <c r="D231" s="57" t="str">
        <f>VLOOKUP($A231,Questions!$A$3:$X$333,20,0)&amp;""</f>
        <v>Refer to HIPAA documentation or your institution's Chief HIPAA Security Officer.</v>
      </c>
    </row>
    <row r="232" spans="1:5" ht="24.75" customHeight="1" x14ac:dyDescent="0.3">
      <c r="A232" s="57" t="s">
        <v>369</v>
      </c>
      <c r="B232" s="57" t="str">
        <f>VLOOKUP($A232,Questions!$A$3:$X$333,2,0)&amp;""</f>
        <v>Are passwords visible in plain text, whether when stored or entered, including service level accounts (i.e., database accounts, etc.)?</v>
      </c>
      <c r="C232" s="57" t="str">
        <f>VLOOKUP($A232,Questions!$A$3:$X$333,19,0)&amp;""</f>
        <v>HIPAA</v>
      </c>
      <c r="D232" s="57" t="str">
        <f>VLOOKUP($A232,Questions!$A$3:$X$333,20,0)&amp;""</f>
        <v>Refer to HIPAA documentation or your institution's Chief HIPAA Security Officer.</v>
      </c>
    </row>
    <row r="233" spans="1:5" ht="39" customHeight="1" x14ac:dyDescent="0.3">
      <c r="A233" s="57" t="s">
        <v>370</v>
      </c>
      <c r="B233" s="57" t="str">
        <f>VLOOKUP($A233,Questions!$A$3:$X$333,2,0)&amp;""</f>
        <v>If the application is institution-hosted, can all service level and administrative account passwords be changed by the institution?</v>
      </c>
      <c r="C233" s="57" t="str">
        <f>VLOOKUP($A233,Questions!$A$3:$X$333,19,0)&amp;""</f>
        <v>HIPAA</v>
      </c>
      <c r="D233" s="57" t="str">
        <f>VLOOKUP($A233,Questions!$A$3:$X$333,20,0)&amp;""</f>
        <v>Refer to HIPAA documentation or your institution's Chief HIPAA Security Officer.</v>
      </c>
    </row>
    <row r="234" spans="1:5" ht="23.25" customHeight="1" x14ac:dyDescent="0.3">
      <c r="A234" s="57" t="s">
        <v>371</v>
      </c>
      <c r="B234" s="57" t="str">
        <f>VLOOKUP($A234,Questions!$A$3:$X$333,2,0)&amp;""</f>
        <v>Does your application provide the ability to define user access levels?</v>
      </c>
      <c r="C234" s="57" t="str">
        <f>VLOOKUP($A234,Questions!$A$3:$X$333,19,0)&amp;""</f>
        <v>HIPAA</v>
      </c>
      <c r="D234" s="57" t="str">
        <f>VLOOKUP($A234,Questions!$A$3:$X$333,20,0)&amp;""</f>
        <v>Refer to HIPAA documentation or your institution's Chief HIPAA Security Officer.</v>
      </c>
    </row>
    <row r="235" spans="1:5" ht="22.5" customHeight="1" x14ac:dyDescent="0.3">
      <c r="A235" s="57" t="s">
        <v>372</v>
      </c>
      <c r="B235" s="57" t="str">
        <f>VLOOKUP($A235,Questions!$A$3:$X$333,2,0)&amp;""</f>
        <v>Does your application support varying levels of access to administrative tasks defined individually per user?</v>
      </c>
      <c r="C235" s="57" t="str">
        <f>VLOOKUP($A235,Questions!$A$3:$X$333,19,0)&amp;""</f>
        <v>HIPAA</v>
      </c>
      <c r="D235" s="57" t="str">
        <f>VLOOKUP($A235,Questions!$A$3:$X$333,20,0)&amp;""</f>
        <v>Refer to HIPAA documentation or your institution's Chief HIPAA Security Officer.</v>
      </c>
    </row>
    <row r="236" spans="1:5" ht="33" customHeight="1" x14ac:dyDescent="0.25">
      <c r="A236" s="57" t="s">
        <v>373</v>
      </c>
      <c r="B236" s="57" t="str">
        <f>VLOOKUP($A236,Questions!$A$3:$X$333,2,0)&amp;""</f>
        <v>Does your application support varying levels of access to records based on user ID?</v>
      </c>
      <c r="C236" s="57" t="str">
        <f>VLOOKUP($A236,Questions!$A$3:$X$333,19,0)&amp;""</f>
        <v>HIPAA</v>
      </c>
      <c r="D236" s="57" t="str">
        <f>VLOOKUP($A236,Questions!$A$3:$X$333,20,0)&amp;""</f>
        <v>Refer to HIPAA documentation or your institution's Chief HIPAA Security Officer.</v>
      </c>
      <c r="E236" s="237" t="s">
        <v>665</v>
      </c>
    </row>
    <row r="237" spans="1:5" x14ac:dyDescent="0.3">
      <c r="A237" s="57" t="s">
        <v>374</v>
      </c>
      <c r="B237" s="57" t="str">
        <f>VLOOKUP($A237,Questions!$A$3:$X$333,2,0)&amp;""</f>
        <v>Is there a limit to the number of groups to which a user can be assigned?</v>
      </c>
      <c r="C237" s="57" t="str">
        <f>VLOOKUP($A237,Questions!$A$3:$X$333,19,0)&amp;""</f>
        <v>HIPAA</v>
      </c>
      <c r="D237" s="57" t="str">
        <f>VLOOKUP($A237,Questions!$A$3:$X$333,20,0)&amp;""</f>
        <v>Refer to HIPAA documentation or your institution's Chief HIPAA Security Officer.</v>
      </c>
    </row>
    <row r="238" spans="1:5" ht="36" customHeight="1" x14ac:dyDescent="0.3">
      <c r="A238" s="57" t="s">
        <v>375</v>
      </c>
      <c r="B238" s="57" t="str">
        <f>VLOOKUP($A238,Questions!$A$3:$X$333,2,0)&amp;""</f>
        <v>Do accounts used for solution provider-supplied remote support abide by the same authentication policies and access logging as the rest of the system?</v>
      </c>
      <c r="C238" s="57" t="str">
        <f>VLOOKUP($A238,Questions!$A$3:$X$333,19,0)&amp;""</f>
        <v>HIPAA</v>
      </c>
      <c r="D238" s="57" t="str">
        <f>VLOOKUP($A238,Questions!$A$3:$X$333,20,0)&amp;""</f>
        <v>Refer to HIPAA documentation or your institution's Chief HIPAA Security Officer.</v>
      </c>
    </row>
    <row r="239" spans="1:5" ht="36.75" customHeight="1" x14ac:dyDescent="0.3">
      <c r="A239" s="57" t="s">
        <v>376</v>
      </c>
      <c r="B239" s="57" t="str">
        <f>VLOOKUP($A239,Questions!$A$3:$X$333,2,0)&amp;""</f>
        <v>Does the application log record access including specific user, date/time of access, and originating IP or device?</v>
      </c>
      <c r="C239" s="57" t="str">
        <f>VLOOKUP($A239,Questions!$A$3:$X$333,19,0)&amp;""</f>
        <v>HIPAA</v>
      </c>
      <c r="D239" s="57" t="str">
        <f>VLOOKUP($A239,Questions!$A$3:$X$333,20,0)&amp;""</f>
        <v>Refer to HIPAA documentation or your institution's Chief HIPAA Security Officer.</v>
      </c>
    </row>
    <row r="240" spans="1:5" ht="40.5" customHeight="1" x14ac:dyDescent="0.3">
      <c r="A240" s="57" t="s">
        <v>377</v>
      </c>
      <c r="B240" s="57" t="str">
        <f>VLOOKUP($A240,Questions!$A$3:$X$333,2,0)&amp;""</f>
        <v>Does the application log administrative activity, such as user account access changes and password changes, including specific user, date/time of changes, and originating IP or device?</v>
      </c>
      <c r="C240" s="57" t="str">
        <f>VLOOKUP($A240,Questions!$A$3:$X$333,19,0)&amp;""</f>
        <v>HIPAA</v>
      </c>
      <c r="D240" s="57" t="str">
        <f>VLOOKUP($A240,Questions!$A$3:$X$333,20,0)&amp;""</f>
        <v>Refer to HIPAA documentation or your institution's Chief HIPAA Security Officer.</v>
      </c>
    </row>
    <row r="241" spans="1:5" ht="39" customHeight="1" x14ac:dyDescent="0.3">
      <c r="A241" s="57" t="s">
        <v>378</v>
      </c>
      <c r="B241" s="57" t="str">
        <f>VLOOKUP($A241,Questions!$A$3:$X$333,2,0)&amp;""</f>
        <v>Do you retain logs for at least as long as required by HIPAA regulations?</v>
      </c>
      <c r="C241" s="57" t="str">
        <f>VLOOKUP($A241,Questions!$A$3:$X$333,19,0)&amp;""</f>
        <v>HIPAA</v>
      </c>
      <c r="D241" s="57" t="str">
        <f>VLOOKUP($A241,Questions!$A$3:$X$333,20,0)&amp;""</f>
        <v>Refer to HIPAA documentation or your institution's Chief HIPAA Security Officer.</v>
      </c>
    </row>
    <row r="242" spans="1:5" ht="38.25" customHeight="1" x14ac:dyDescent="0.3">
      <c r="A242" s="57" t="s">
        <v>379</v>
      </c>
      <c r="B242" s="57" t="str">
        <f>VLOOKUP($A242,Questions!$A$3:$X$333,2,0)&amp;""</f>
        <v>Can the application logs be archived?</v>
      </c>
      <c r="C242" s="57" t="str">
        <f>VLOOKUP($A242,Questions!$A$3:$X$333,19,0)&amp;""</f>
        <v>HIPAA</v>
      </c>
      <c r="D242" s="57" t="str">
        <f>VLOOKUP($A242,Questions!$A$3:$X$333,20,0)&amp;""</f>
        <v>Refer to HIPAA documentation or your institution's Chief HIPAA Security Officer.</v>
      </c>
    </row>
    <row r="243" spans="1:5" ht="28.5" customHeight="1" x14ac:dyDescent="0.3">
      <c r="A243" s="57" t="s">
        <v>380</v>
      </c>
      <c r="B243" s="57" t="str">
        <f>VLOOKUP($A243,Questions!$A$3:$X$333,2,0)&amp;""</f>
        <v>Can the application logs be saved externally?</v>
      </c>
      <c r="C243" s="57" t="str">
        <f>VLOOKUP($A243,Questions!$A$3:$X$333,19,0)&amp;""</f>
        <v>HIPAA</v>
      </c>
      <c r="D243" s="57" t="str">
        <f>VLOOKUP($A243,Questions!$A$3:$X$333,20,0)&amp;""</f>
        <v>Refer to HIPAA documentation or your institution's Chief HIPAA Security Officer.</v>
      </c>
    </row>
    <row r="244" spans="1:5" ht="29.25" customHeight="1" x14ac:dyDescent="0.3">
      <c r="A244" s="57" t="s">
        <v>381</v>
      </c>
      <c r="B244" s="57" t="str">
        <f>VLOOKUP($A244,Questions!$A$3:$X$333,2,0)&amp;""</f>
        <v>Do you have a disaster recovery plan and emergency mode operation plan?</v>
      </c>
      <c r="C244" s="57" t="str">
        <f>VLOOKUP($A244,Questions!$A$3:$X$333,19,0)&amp;""</f>
        <v>HIPAA</v>
      </c>
      <c r="D244" s="57" t="str">
        <f>VLOOKUP($A244,Questions!$A$3:$X$333,20,0)&amp;""</f>
        <v>Refer to HIPAA documentation or your institution's Chief HIPAA Security Officer.</v>
      </c>
    </row>
    <row r="245" spans="1:5" ht="26.25" customHeight="1" x14ac:dyDescent="0.3">
      <c r="A245" s="57" t="s">
        <v>382</v>
      </c>
      <c r="B245" s="57" t="str">
        <f>VLOOKUP($A245,Questions!$A$3:$X$333,2,0)&amp;""</f>
        <v>Can you provide a HIPAA compliance attestation document?</v>
      </c>
      <c r="C245" s="57" t="str">
        <f>VLOOKUP($A245,Questions!$A$3:$X$333,19,0)&amp;""</f>
        <v>HIPAA</v>
      </c>
      <c r="D245" s="57" t="str">
        <f>VLOOKUP($A245,Questions!$A$3:$X$333,20,0)&amp;""</f>
        <v>Refer to HIPAA documentation or your institution's Chief HIPAA Security Officer.</v>
      </c>
    </row>
    <row r="246" spans="1:5" ht="36.75" customHeight="1" x14ac:dyDescent="0.3">
      <c r="A246" s="57" t="s">
        <v>383</v>
      </c>
      <c r="B246" s="57" t="str">
        <f>VLOOKUP($A246,Questions!$A$3:$X$333,2,0)&amp;""</f>
        <v>Are you willing to enter into a Business Associate Agreement (BAA)?</v>
      </c>
      <c r="C246" s="57" t="str">
        <f>VLOOKUP($A246,Questions!$A$3:$X$333,19,0)&amp;""</f>
        <v>HIPAA</v>
      </c>
      <c r="D246" s="57" t="str">
        <f>VLOOKUP($A246,Questions!$A$3:$X$333,20,0)&amp;""</f>
        <v>Refer to HIPAA documentation or your institution's Chief HIPAA Security Officer.</v>
      </c>
    </row>
    <row r="247" spans="1:5" ht="22.5" customHeight="1" x14ac:dyDescent="0.3">
      <c r="A247" s="57" t="s">
        <v>384</v>
      </c>
      <c r="B247" s="57" t="str">
        <f>VLOOKUP($A247,Questions!$A$3:$X$333,2,0)&amp;""</f>
        <v>Do your data backup and retention policies and practices meet HIPAA requirements?</v>
      </c>
      <c r="C247" s="57" t="str">
        <f>VLOOKUP($A247,Questions!$A$3:$X$333,19,0)&amp;""</f>
        <v>HIPAA</v>
      </c>
      <c r="D247" s="57" t="str">
        <f>VLOOKUP($A247,Questions!$A$3:$X$333,20,0)&amp;""</f>
        <v>Refer to HIPAA documentation or your institution's Chief HIPAA Security Officer.</v>
      </c>
    </row>
    <row r="248" spans="1:5" ht="24.75" customHeight="1" x14ac:dyDescent="0.3">
      <c r="A248" s="63" t="str">
        <f>VLOOKUP(LEFT($A249,4),'Auto Responses'!$N$4:$O$38,2,0)&amp;""</f>
        <v xml:space="preserve"> Payment Card Industry Data Security Standard (PCI DSS)</v>
      </c>
      <c r="B248" s="63"/>
      <c r="C248" s="56" t="str">
        <f>Questions!$S$2</f>
        <v>Reason for Question</v>
      </c>
      <c r="D248" s="56" t="str">
        <f>Questions!$T$2</f>
        <v>Follow-Up Inquiries/Responses</v>
      </c>
    </row>
    <row r="249" spans="1:5" ht="51" customHeight="1" x14ac:dyDescent="0.25">
      <c r="A249" s="57" t="s">
        <v>385</v>
      </c>
      <c r="B249" s="57" t="str">
        <f>VLOOKUP($A249,Questions!$A$3:$X$333,2,0)&amp;""</f>
        <v>Do you have a current, executed within the past year, Attestation of Compliance (AoC) or Report on Compliance (RoC)?*</v>
      </c>
      <c r="C249" s="57" t="str">
        <f>VLOOKUP($A249,Questions!$A$3:$X$333,19,0)&amp;""</f>
        <v>PCI DSS</v>
      </c>
      <c r="D249" s="57" t="str">
        <f>VLOOKUP($A249,Questions!$A$3:$X$333,20,0)&amp;""</f>
        <v>Refer to PCI DSS documentation or your institution's treasurer's office.</v>
      </c>
      <c r="E249" s="237" t="s">
        <v>665</v>
      </c>
    </row>
    <row r="250" spans="1:5" ht="27" x14ac:dyDescent="0.3">
      <c r="A250" s="57" t="s">
        <v>386</v>
      </c>
      <c r="B250" s="57" t="str">
        <f>VLOOKUP($A250,Questions!$A$3:$X$333,2,0)&amp;""</f>
        <v>Is the application listed as an approved Payment Application Data Security Standard (PA-DSS) application?*</v>
      </c>
      <c r="C250" s="57" t="str">
        <f>VLOOKUP($A250,Questions!$A$3:$X$333,19,0)&amp;""</f>
        <v>PCI DSS</v>
      </c>
      <c r="D250" s="57" t="str">
        <f>VLOOKUP($A250,Questions!$A$3:$X$333,20,0)&amp;""</f>
        <v>Refer to PCI DSS documentation or your institution's treasurer's office.</v>
      </c>
    </row>
    <row r="251" spans="1:5" ht="68.25" customHeight="1" x14ac:dyDescent="0.3">
      <c r="A251" s="57" t="s">
        <v>387</v>
      </c>
      <c r="B251" s="57" t="str">
        <f>VLOOKUP($A251,Questions!$A$3:$X$333,2,0)&amp;""</f>
        <v>Does the system or solutions use a third party to collect, store, process, or transmit cardholder (payment/credit/debt card) data?*</v>
      </c>
      <c r="C251" s="57" t="str">
        <f>VLOOKUP($A251,Questions!$A$3:$X$333,19,0)&amp;""</f>
        <v>PCI DSS</v>
      </c>
      <c r="D251" s="57" t="str">
        <f>VLOOKUP($A251,Questions!$A$3:$X$333,20,0)&amp;""</f>
        <v>Refer to PCI DSS documentation or your institution's treasurer's office.</v>
      </c>
    </row>
    <row r="252" spans="1:5" ht="71.25" customHeight="1" x14ac:dyDescent="0.3">
      <c r="A252" s="57" t="s">
        <v>388</v>
      </c>
      <c r="B252" s="57" t="str">
        <f>VLOOKUP($A252,Questions!$A$3:$X$333,2,0)&amp;""</f>
        <v>Do your systems or solutions store, process, or transmit cardholder (payment/credit/debt card) data?</v>
      </c>
      <c r="C252" s="57" t="str">
        <f>VLOOKUP($A252,Questions!$A$3:$X$333,19,0)&amp;""</f>
        <v>PCI DSS</v>
      </c>
      <c r="D252" s="57" t="str">
        <f>VLOOKUP($A252,Questions!$A$3:$X$333,20,0)&amp;""</f>
        <v>Refer to PCI DSS documentation or your institution's treasurer's office.</v>
      </c>
    </row>
    <row r="253" spans="1:5" ht="68.25" customHeight="1" x14ac:dyDescent="0.3">
      <c r="A253" s="57" t="s">
        <v>389</v>
      </c>
      <c r="B253" s="57" t="str">
        <f>VLOOKUP($A253,Questions!$A$3:$X$333,2,0)&amp;""</f>
        <v>Are you compliant with the Payment Card Industry Data Security Standard (PCI DSS)?</v>
      </c>
      <c r="C253" s="57" t="str">
        <f>VLOOKUP($A253,Questions!$A$3:$X$333,19,0)&amp;""</f>
        <v>PCI DSS</v>
      </c>
      <c r="D253" s="57" t="str">
        <f>VLOOKUP($A253,Questions!$A$3:$X$333,20,0)&amp;""</f>
        <v>Refer to PCI DSS documentation or your institution's treasurer's office.</v>
      </c>
    </row>
    <row r="254" spans="1:5" ht="76.5" customHeight="1" x14ac:dyDescent="0.3">
      <c r="A254" s="57" t="s">
        <v>390</v>
      </c>
      <c r="B254" s="57" t="str">
        <f>VLOOKUP($A254,Questions!$A$3:$X$333,2,0)&amp;""</f>
        <v>Are you classified as a service provider?</v>
      </c>
      <c r="C254" s="57" t="str">
        <f>VLOOKUP($A254,Questions!$A$3:$X$333,19,0)&amp;""</f>
        <v>PCI DSS</v>
      </c>
      <c r="D254" s="57" t="str">
        <f>VLOOKUP($A254,Questions!$A$3:$X$333,20,0)&amp;""</f>
        <v>Refer to PCI DSS documentation or your institution's treasurer's office.</v>
      </c>
    </row>
    <row r="255" spans="1:5" ht="81" customHeight="1" x14ac:dyDescent="0.3">
      <c r="A255" s="57" t="s">
        <v>391</v>
      </c>
      <c r="B255" s="57" t="str">
        <f>VLOOKUP($A255,Questions!$A$3:$X$333,2,0)&amp;""</f>
        <v>Are you on the list of Visa approved service providers?</v>
      </c>
      <c r="C255" s="57" t="str">
        <f>VLOOKUP($A255,Questions!$A$3:$X$333,19,0)&amp;""</f>
        <v>PCI DSS</v>
      </c>
      <c r="D255" s="57" t="str">
        <f>VLOOKUP($A255,Questions!$A$3:$X$333,20,0)&amp;""</f>
        <v>Refer to PCI DSS documentation or your institution's treasurer's office.</v>
      </c>
    </row>
    <row r="256" spans="1:5" ht="38.25" customHeight="1" x14ac:dyDescent="0.3">
      <c r="A256" s="57" t="s">
        <v>392</v>
      </c>
      <c r="B256" s="57" t="str">
        <f>VLOOKUP($A256,Questions!$A$3:$X$333,2,0)&amp;""</f>
        <v>Are you classified as a merchant? If so, what level (1, 2, 3, 4)?</v>
      </c>
      <c r="C256" s="57" t="str">
        <f>VLOOKUP($A256,Questions!$A$3:$X$333,19,0)&amp;""</f>
        <v>PCI DSS</v>
      </c>
      <c r="D256" s="57" t="str">
        <f>VLOOKUP($A256,Questions!$A$3:$X$333,20,0)&amp;""</f>
        <v>Refer to PCI DSS documentation or your institution's treasurer's office.</v>
      </c>
    </row>
    <row r="257" spans="1:5" ht="61.5" customHeight="1" x14ac:dyDescent="0.3">
      <c r="A257" s="57" t="s">
        <v>393</v>
      </c>
      <c r="B257" s="57" t="str">
        <f>VLOOKUP($A257,Questions!$A$3:$X$333,2,0)&amp;""</f>
        <v>Describe the architecture employed by the system to verify and authorize credit card transactions.</v>
      </c>
      <c r="C257" s="57" t="str">
        <f>VLOOKUP($A257,Questions!$A$3:$X$333,19,0)&amp;""</f>
        <v>PCI DSS</v>
      </c>
      <c r="D257" s="57" t="str">
        <f>VLOOKUP($A257,Questions!$A$3:$X$333,20,0)&amp;""</f>
        <v>Refer to PCI DSS documentation or your institution's treasurer's office.</v>
      </c>
    </row>
    <row r="258" spans="1:5" ht="54" customHeight="1" x14ac:dyDescent="0.3">
      <c r="A258" s="57" t="s">
        <v>394</v>
      </c>
      <c r="B258" s="57" t="str">
        <f>VLOOKUP($A258,Questions!$A$3:$X$333,2,0)&amp;""</f>
        <v>What payment processors/gateways does the system support?</v>
      </c>
      <c r="C258" s="57" t="str">
        <f>VLOOKUP($A258,Questions!$A$3:$X$333,19,0)&amp;""</f>
        <v>PCI DSS</v>
      </c>
      <c r="D258" s="57" t="str">
        <f>VLOOKUP($A258,Questions!$A$3:$X$333,20,0)&amp;""</f>
        <v>Refer to PCI DSS documentation or your institution's treasurer's office.</v>
      </c>
      <c r="E258" s="51"/>
    </row>
    <row r="259" spans="1:5" x14ac:dyDescent="0.3">
      <c r="A259" s="57" t="s">
        <v>395</v>
      </c>
      <c r="B259" s="57" t="str">
        <f>VLOOKUP($A259,Questions!$A$3:$X$333,2,0)&amp;""</f>
        <v>Can the application be installed in a PCI DSS–compliant manner?</v>
      </c>
      <c r="C259" s="57" t="str">
        <f>VLOOKUP($A259,Questions!$A$3:$X$333,19,0)&amp;""</f>
        <v>PCI DSS</v>
      </c>
      <c r="D259" s="57" t="str">
        <f>VLOOKUP($A259,Questions!$A$3:$X$333,20,0)&amp;""</f>
        <v>Refer to PCI DSS documentation or your institution's treasurer's office.</v>
      </c>
      <c r="E259" s="51"/>
    </row>
    <row r="260" spans="1:5" ht="60.75" customHeight="1" x14ac:dyDescent="0.25">
      <c r="A260" s="57" t="s">
        <v>396</v>
      </c>
      <c r="B260" s="57" t="str">
        <f>VLOOKUP($A260,Questions!$A$3:$X$333,2,0)&amp;""</f>
        <v>Include documentation describing the system's abilities to comply with the PCI DSS and any features or capabilities of the system that must be added or changed in order to operate in compliance with the standards.</v>
      </c>
      <c r="C260" s="57" t="str">
        <f>VLOOKUP($A260,Questions!$A$3:$X$333,19,0)&amp;""</f>
        <v>PCI DSS</v>
      </c>
      <c r="D260" s="57" t="str">
        <f>VLOOKUP($A260,Questions!$A$3:$X$333,20,0)&amp;""</f>
        <v>Refer to PCI DSS documentation or your institution's treasurer's office.</v>
      </c>
      <c r="E260" s="237" t="s">
        <v>665</v>
      </c>
    </row>
    <row r="261" spans="1:5" ht="17.5" x14ac:dyDescent="0.3">
      <c r="A261" s="63" t="str">
        <f>VLOOKUP(LEFT($A262,4),'Auto Responses'!$N$4:$O$38,2,0)&amp;""</f>
        <v xml:space="preserve"> On-Premises Data Solutions</v>
      </c>
      <c r="B261" s="63"/>
      <c r="C261" s="56" t="str">
        <f>Questions!$S$2</f>
        <v>Reason for Question</v>
      </c>
      <c r="D261" s="56" t="str">
        <f>Questions!$T$2</f>
        <v>Follow-Up Inquiries/Responses</v>
      </c>
    </row>
    <row r="262" spans="1:5" ht="65.25" customHeight="1" x14ac:dyDescent="0.3">
      <c r="A262" s="57" t="s">
        <v>397</v>
      </c>
      <c r="B262" s="57" t="str">
        <f>VLOOKUP($A262,Questions!$A$3:$X$333,2,0)&amp;""</f>
        <v>Do you support role-based access control (RBAC) for system administrators?</v>
      </c>
      <c r="C262" s="57" t="str">
        <f>VLOOKUP($A262,Questions!$A$3:$X$333,19,0)&amp;""</f>
        <v>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v>
      </c>
      <c r="D262" s="57" t="str">
        <f>VLOOKUP($A262,Questions!$A$3:$X$333,20,0)&amp;""</f>
        <v>Ask the solution provider to summarize the best practices for securing their system(s) administratively without the use of RBAC. Make sure to understand the administrative requirements/overhead introduced in the solution provider's environment.</v>
      </c>
    </row>
    <row r="263" spans="1:5" ht="78" customHeight="1" x14ac:dyDescent="0.3">
      <c r="A263" s="57" t="s">
        <v>398</v>
      </c>
      <c r="B263" s="57" t="str">
        <f>VLOOKUP($A263,Questions!$A$3:$X$333,2,0)&amp;""</f>
        <v>Can your employees access customer systems remotely?</v>
      </c>
      <c r="C263" s="57" t="str">
        <f>VLOOKUP($A263,Questions!$A$3:$X$333,19,0)&amp;""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63" s="57" t="str">
        <f>VLOOKUP($A263,Questions!$A$3:$X$333,20,0)&amp;""</f>
        <v>Ask the solution provider to summarize the reasoning behind this business process and request additional documentation that outlines the security controls implemented to safeguard institutional data.</v>
      </c>
    </row>
    <row r="264" spans="1:5" ht="60.75" customHeight="1" x14ac:dyDescent="0.3">
      <c r="A264" s="57" t="s">
        <v>399</v>
      </c>
      <c r="B264" s="57" t="str">
        <f>VLOOKUP($A264,Questions!$A$3:$X$333,2,0)&amp;""</f>
        <v>Can you provide overall system and/or application architecture diagrams including a full description of the data communications architecture for all components of the system?</v>
      </c>
      <c r="C264" s="57" t="str">
        <f>VLOOKUP($A264,Questions!$A$3:$X$333,19,0)&amp;""</f>
        <v>Many systems can be used a variety of ways. We want these implementation type diagrams so that we can understand the "real" use of the solution.</v>
      </c>
      <c r="D264" s="57" t="str">
        <f>VLOOKUP($A264,Questions!$A$3:$X$333,20,0)&amp;""</f>
        <v>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v>
      </c>
    </row>
    <row r="265" spans="1:5" ht="78.75" customHeight="1" x14ac:dyDescent="0.3">
      <c r="A265" s="57" t="s">
        <v>400</v>
      </c>
      <c r="B265" s="57" t="str">
        <f>VLOOKUP($A265,Questions!$A$3:$X$333,2,0)&amp;""</f>
        <v>Do you require remote management of the system?</v>
      </c>
      <c r="C265" s="57" t="str">
        <f>VLOOKUP($A265,Questions!$A$3:$X$333,19,0)&amp;""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65" s="57" t="str">
        <f>VLOOKUP($A265,Questions!$A$3:$X$333,20,0)&amp;""</f>
        <v>Ask the solution provider to summarize the reasoning behind this business process and request additional documentation that outlines the security controls implemented to safeguard institutional data.</v>
      </c>
    </row>
    <row r="266" spans="1:5" ht="74.25" customHeight="1" x14ac:dyDescent="0.25">
      <c r="A266" s="57" t="s">
        <v>401</v>
      </c>
      <c r="B266" s="57" t="str">
        <f>VLOOKUP($A266,Questions!$A$3:$X$333,2,0)&amp;""</f>
        <v>If you answered "yes" to OPEM-04, are your remote actions and changes logged or otherwise visible to the campus?</v>
      </c>
      <c r="C266" s="57" t="str">
        <f>VLOOKUP($A266,Questions!$A$3:$X$333,19,0)&amp;""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v>
      </c>
      <c r="D266" s="57" t="str">
        <f>VLOOKUP($A266,Questions!$A$3:$X$333,20,0)&amp;""</f>
        <v>If a weak response is given to this answer, it is appropriate to ask directed answers to get specific information. Ensure that questions are targeted to ensure responses will come from the appropriate party within the solution provider.</v>
      </c>
      <c r="E266" s="237" t="s">
        <v>665</v>
      </c>
    </row>
    <row r="267" spans="1:5" ht="27" x14ac:dyDescent="0.3">
      <c r="A267" s="57" t="s">
        <v>402</v>
      </c>
      <c r="B267" s="57" t="str">
        <f>VLOOKUP($A267,Questions!$A$3:$X$333,2,0)&amp;""</f>
        <v>If you maintain remote access to the system, will you handle data in a FERPA-compliant manner?</v>
      </c>
      <c r="C267" s="57" t="str">
        <f>VLOOKUP($A267,Questions!$A$3:$X$333,19,0)&amp;""</f>
        <v>This is standard documentation, relevant to institution implementations requiring FERPA compliance.</v>
      </c>
      <c r="D267" s="57" t="str">
        <f>VLOOKUP($A267,Questions!$A$3:$X$333,20,0)&amp;""</f>
        <v>Follow-up inquiries for FERPA compliance details will be institution/implementation specific.</v>
      </c>
    </row>
    <row r="268" spans="1:5" ht="60" customHeight="1" x14ac:dyDescent="0.3">
      <c r="A268" s="57" t="s">
        <v>403</v>
      </c>
      <c r="B268" s="57" t="str">
        <f>VLOOKUP($A268,Questions!$A$3:$X$333,2,0)&amp;""</f>
        <v>Do you support campus status monitoring through SNMPv3 or other means?</v>
      </c>
      <c r="C268" s="57" t="str">
        <f>VLOOKUP($A268,Questions!$A$3:$X$333,19,0)&amp;""</f>
        <v>Standard documentation question. With an on-premise device, the possibility to tie-in with existing monitoring/management systems is beneficial. The solution provider's response should be clear and concise.</v>
      </c>
      <c r="D268" s="57" t="str">
        <f>VLOOKUP($A268,Questions!$A$3:$X$333,20,0)&amp;""</f>
        <v>Follow-up inquiries for monitoring via SNMPv3 will be institution/implementation specific.</v>
      </c>
    </row>
    <row r="269" spans="1:5" ht="58.5" customHeight="1" x14ac:dyDescent="0.3">
      <c r="A269" s="57" t="s">
        <v>404</v>
      </c>
      <c r="B269" s="57" t="str">
        <f>VLOOKUP($A269,Questions!$A$3:$X$333,2,0)&amp;""</f>
        <v>Describe or provide a reference to any other safeguards used to monitor for malicious activity.</v>
      </c>
      <c r="C269" s="57" t="str">
        <f>VLOOKUP($A269,Questions!$A$3:$X$333,19,0)&amp;""</f>
        <v>This question is primarily focused on system(s) integrity and confidentiality. The solution provider's response should clearly state the system(s) capabilities to properly monitor for (and alert for) malicious activity.</v>
      </c>
      <c r="D269" s="57" t="str">
        <f>VLOOKUP($A269,Questions!$A$3:$X$333,20,0)&amp;""</f>
        <v>Follow-up inquiries for system monitoring will be institution/implementation specific.</v>
      </c>
    </row>
    <row r="270" spans="1:5" ht="51.75" customHeight="1" x14ac:dyDescent="0.3">
      <c r="A270" s="57" t="s">
        <v>405</v>
      </c>
      <c r="B270" s="57" t="str">
        <f>VLOOKUP($A270,Questions!$A$3:$X$333,2,0)&amp;""</f>
        <v>Describe how long your organization has conducted business in this area.</v>
      </c>
      <c r="C270" s="57" t="str">
        <f>VLOOKUP($A270,Questions!$A$3:$X$333,19,0)&amp;""</f>
        <v>We want to establish longevity of a solution and whether or not a solution provider is new to the higher education space.</v>
      </c>
      <c r="D270" s="57" t="str">
        <f>VLOOKUP($A270,Questions!$A$3:$X$333,20,0)&amp;""</f>
        <v>Normally a solution provider will state their overall longevity but not talk about the software/service/product under evaluation. Follow-ups includes specific questions about the origins of the software/service/product and references will be requested.</v>
      </c>
    </row>
    <row r="271" spans="1:5" ht="63.75" customHeight="1" x14ac:dyDescent="0.25">
      <c r="A271" s="57" t="s">
        <v>406</v>
      </c>
      <c r="B271" s="57" t="str">
        <f>VLOOKUP($A271,Questions!$A$3:$X$333,2,0)&amp;""</f>
        <v>Do you have existing higher education customers?</v>
      </c>
      <c r="C271" s="57" t="str">
        <f>VLOOKUP($A271,Questions!$A$3:$X$333,19,0)&amp;""</f>
        <v>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v>
      </c>
      <c r="D271" s="57" t="str">
        <f>VLOOKUP($A271,Questions!$A$3:$X$333,20,0)&amp;""</f>
        <v>A simple "yes" without any references or supporting information should be questioned. Question the size of institutions that are using the solution and the scope of their implementations.</v>
      </c>
      <c r="E271" s="237" t="s">
        <v>665</v>
      </c>
    </row>
    <row r="272" spans="1:5" ht="17.5" x14ac:dyDescent="0.3">
      <c r="A272" s="63" t="str">
        <f>VLOOKUP(LEFT($A273,4),'Auto Responses'!$N$4:$O$38,2,0)&amp;""</f>
        <v xml:space="preserve"> AI Qualifying Questions</v>
      </c>
      <c r="B272" s="63"/>
      <c r="C272" s="56" t="str">
        <f>Questions!$S$2</f>
        <v>Reason for Question</v>
      </c>
      <c r="D272" s="56" t="str">
        <f>Questions!$T$2</f>
        <v>Follow-Up Inquiries/Responses</v>
      </c>
    </row>
    <row r="273" spans="1:5" ht="36" customHeight="1" x14ac:dyDescent="0.3">
      <c r="A273" s="57" t="s">
        <v>408</v>
      </c>
      <c r="B273" s="57" t="str">
        <f>VLOOKUP($A273,Questions!$A$3:$X$333,2,0)&amp;""</f>
        <v>Does your solution leverage machine learning (ML) or do you plan to do so in the next 12 months?</v>
      </c>
      <c r="C273" s="57" t="str">
        <f>VLOOKUP($A273,Questions!$A$3:$X$333,19,0)&amp;""</f>
        <v/>
      </c>
      <c r="D273" s="57" t="str">
        <f>VLOOKUP($A273,Questions!$A$3:$X$333,20,0)&amp;""</f>
        <v/>
      </c>
    </row>
    <row r="274" spans="1:5" ht="38.25" customHeight="1" x14ac:dyDescent="0.3">
      <c r="A274" s="57" t="s">
        <v>410</v>
      </c>
      <c r="B274" s="57" t="str">
        <f>VLOOKUP($A274,Questions!$A$3:$X$333,2,0)&amp;""</f>
        <v>Does your solution leverage a large language model (LLM) or do you plan to do so in the next 12 months?</v>
      </c>
      <c r="C274" s="57" t="str">
        <f>VLOOKUP($A274,Questions!$A$3:$X$333,19,0)&amp;""</f>
        <v/>
      </c>
      <c r="D274" s="57" t="str">
        <f>VLOOKUP($A274,Questions!$A$3:$X$333,20,0)&amp;""</f>
        <v/>
      </c>
    </row>
    <row r="275" spans="1:5" ht="39" customHeight="1" x14ac:dyDescent="0.25">
      <c r="A275" s="63" t="str">
        <f>VLOOKUP(LEFT($A276,4),'Auto Responses'!$N$4:$O$38,2,0)&amp;""</f>
        <v xml:space="preserve"> General AI Questions</v>
      </c>
      <c r="B275" s="63"/>
      <c r="C275" s="56" t="str">
        <f>Questions!$S$2</f>
        <v>Reason for Question</v>
      </c>
      <c r="D275" s="56" t="str">
        <f>Questions!$T$2</f>
        <v>Follow-Up Inquiries/Responses</v>
      </c>
      <c r="E275" s="237" t="s">
        <v>665</v>
      </c>
    </row>
    <row r="276" spans="1:5" ht="27" x14ac:dyDescent="0.3">
      <c r="A276" s="57" t="s">
        <v>412</v>
      </c>
      <c r="B276" s="57" t="str">
        <f>VLOOKUP($A276,Questions!$A$3:$X$333,2,0)&amp;""</f>
        <v>Does your solution have an AI risk model when developing or implementing your solution's AI model?*</v>
      </c>
      <c r="C276" s="57" t="str">
        <f>VLOOKUP($A276,Questions!$A$3:$X$333,19,0)&amp;""</f>
        <v>To ensure the vendor has proactive governance and has a defined, documented risk management strategy that is aligned with responsible AI.</v>
      </c>
      <c r="D276" s="57" t="str">
        <f>VLOOKUP($A276,Questions!$A$3:$X$333,20,0)&amp;""</f>
        <v>Can the AI risk model or framework in use be shared? How often is it reviewed and updated? If an AI framework is not in use, what practices are currently used to address AI risks?</v>
      </c>
    </row>
    <row r="277" spans="1:5" ht="50.25" customHeight="1" x14ac:dyDescent="0.3">
      <c r="A277" s="57" t="s">
        <v>414</v>
      </c>
      <c r="B277" s="57" t="str">
        <f>VLOOKUP($A277,Questions!$A$3:$X$333,2,0)&amp;""</f>
        <v>Can your solution's AI features be disabled by tenant and/or user?*</v>
      </c>
      <c r="C277" s="57" t="str">
        <f>VLOOKUP($A277,Questions!$A$3:$X$333,19,0)&amp;""</f>
        <v>To verify whether customers have control over AI features and can opt out when AI is not desired or creates compliance concerns.</v>
      </c>
      <c r="D277" s="57" t="str">
        <f>VLOOKUP($A277,Questions!$A$3:$X$333,20,0)&amp;""</f>
        <v>How easy is it to disable/enable AI features?</v>
      </c>
    </row>
    <row r="278" spans="1:5" ht="60.75" customHeight="1" x14ac:dyDescent="0.25">
      <c r="A278" s="57" t="s">
        <v>416</v>
      </c>
      <c r="B278" s="57" t="str">
        <f>VLOOKUP($A278,Questions!$A$3:$X$333,2,0)&amp;""</f>
        <v>Have your staff completed responsible AI training?*</v>
      </c>
      <c r="C278" s="57" t="str">
        <f>VLOOKUP($A278,Questions!$A$3:$X$333,19,0)&amp;""</f>
        <v>To confirm that staff are educated on ethical AI principles, data stewardship, bias mitigation, and compliance, ensuring responsible use and support for customers.</v>
      </c>
      <c r="D278" s="57" t="str">
        <f>VLOOKUP($A278,Questions!$A$3:$X$333,20,0)&amp;""</f>
        <v>Clarify the structure and enforcement of training supports transparency and accountability in AI-related operations.</v>
      </c>
      <c r="E278" s="237" t="s">
        <v>665</v>
      </c>
    </row>
    <row r="279" spans="1:5" ht="40.5" x14ac:dyDescent="0.3">
      <c r="A279" s="57" t="s">
        <v>418</v>
      </c>
      <c r="B279" s="57" t="str">
        <f>VLOOKUP($A279,Questions!$A$3:$X$333,2,0)&amp;""</f>
        <v>Please describe the capabilities of your solution's AI features.</v>
      </c>
      <c r="C279" s="57" t="str">
        <f>VLOOKUP($A279,Questions!$A$3:$X$333,19,0)&amp;""</f>
        <v>To help institutions understand the scope, functionality, and intended use cases of the AI feature(s) and evaluate whether its capabilities align with institutional needs and risk tolerance.</v>
      </c>
      <c r="D279" s="57" t="str">
        <f>VLOOKUP($A279,Questions!$A$3:$X$333,20,0)&amp;""</f>
        <v>Can documentation of supported AI functions, limitations, and safeguards be provided?</v>
      </c>
    </row>
    <row r="280" spans="1:5" ht="39" customHeight="1" x14ac:dyDescent="0.3">
      <c r="A280" s="57" t="s">
        <v>419</v>
      </c>
      <c r="B280" s="57" t="str">
        <f>VLOOKUP($A280,Questions!$A$3:$X$333,2,0)&amp;""</f>
        <v>Does your solution support business rules to protect sensitive data from being ingested by the AI model?</v>
      </c>
      <c r="C280" s="57" t="str">
        <f>VLOOKUP($A280,Questions!$A$3:$X$333,19,0)&amp;""</f>
        <v>To determine the risk of sensitive data exposure from AI feature inputs and outputs.</v>
      </c>
      <c r="D280" s="57" t="str">
        <f>VLOOKUP($A280,Questions!$A$3:$X$333,20,0)&amp;""</f>
        <v>Can you provide examples of data loss prevention (DLP) features? Where are these DLP solutions implemented? Are these DLP features customizable?</v>
      </c>
    </row>
    <row r="281" spans="1:5" ht="38.25" customHeight="1" x14ac:dyDescent="0.25">
      <c r="A281" s="63" t="str">
        <f>VLOOKUP(LEFT($A282,4),'Auto Responses'!$N$4:$O$38,2,0)&amp;""</f>
        <v xml:space="preserve"> AI Policy</v>
      </c>
      <c r="B281" s="63"/>
      <c r="C281" s="56" t="str">
        <f>Questions!$S$2</f>
        <v>Reason for Question</v>
      </c>
      <c r="D281" s="56" t="str">
        <f>Questions!$T$2</f>
        <v>Follow-Up Inquiries/Responses</v>
      </c>
      <c r="E281" s="237" t="s">
        <v>665</v>
      </c>
    </row>
    <row r="282" spans="1:5" ht="54" x14ac:dyDescent="0.3">
      <c r="A282" s="57" t="s">
        <v>421</v>
      </c>
      <c r="B282" s="57" t="str">
        <f>VLOOKUP($A282,Questions!$A$3:$X$333,2,0)&amp;""</f>
        <v>Are your AI developer's policies, processes, procedures, and practices across the organization related to the mapping, measuring, and managing of AI risks conspicuously posted, unambiguous, and implemented effectively?*</v>
      </c>
      <c r="C282" s="57" t="str">
        <f>VLOOKUP($A282,Questions!$A$3:$X$333,19,0)&amp;""</f>
        <v>To ensure that the vendor has established a mature AI governance framework, is prepared to manage the complex and evolving risks of AI, and is not likely to transfer that risk directly to customers.</v>
      </c>
      <c r="D282" s="57" t="str">
        <f>VLOOKUP($A282,Questions!$A$3:$X$333,20,0)&amp;""</f>
        <v>Given that a lack of formal governance can expose our institution to significant legal and reputational risks, how can you assure us that partnering with you will not transfer these liabilities to our organization?</v>
      </c>
    </row>
    <row r="283" spans="1:5" ht="56.25" customHeight="1" x14ac:dyDescent="0.3">
      <c r="A283" s="57" t="s">
        <v>423</v>
      </c>
      <c r="B283" s="57" t="str">
        <f>VLOOKUP($A283,Questions!$A$3:$X$333,2,0)&amp;""</f>
        <v>Have you identified and measured AI risks?*</v>
      </c>
      <c r="C283" s="57" t="str">
        <f>VLOOKUP($A283,Questions!$A$3:$X$333,19,0)&amp;""</f>
        <v>To help an organization verify that the vendor has a mature, proactive risk management framework in place, which is essential to protect the organization from the legal, financial, and reputational liabilities that can arise from a poorly governed AI system.</v>
      </c>
      <c r="D283" s="57" t="str">
        <f>VLOOKUP($A283,Questions!$A$3:$X$333,20,0)&amp;""</f>
        <v>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v>
      </c>
    </row>
    <row r="284" spans="1:5" ht="68.25" customHeight="1" x14ac:dyDescent="0.3">
      <c r="A284" s="57" t="s">
        <v>425</v>
      </c>
      <c r="B284" s="57" t="str">
        <f>VLOOKUP($A284,Questions!$A$3:$X$333,2,0)&amp;""</f>
        <v>In the event of an incident, can your solution's AI features be disabled in a timely manner?*</v>
      </c>
      <c r="C284" s="57" t="str">
        <f>VLOOKUP($A284,Questions!$A$3:$X$333,19,0)&amp;""</f>
        <v>The ability to disable/enable AI features is essential for containing an incident and preventing a security or ethical failure.</v>
      </c>
      <c r="D284" s="57" t="str">
        <f>VLOOKUP($A284,Questions!$A$3:$X$333,20,0)&amp;""</f>
        <v>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v>
      </c>
    </row>
    <row r="285" spans="1:5" ht="50.25" customHeight="1" x14ac:dyDescent="0.3">
      <c r="A285" s="57" t="s">
        <v>427</v>
      </c>
      <c r="B285" s="57" t="str">
        <f>VLOOKUP($A285,Questions!$A$3:$X$333,2,0)&amp;""</f>
        <v>If disabled because of an incident, can your solution's AI features be re-enabled in a timely manner?*</v>
      </c>
      <c r="C285" s="57" t="str">
        <f>VLOOKUP($A285,Questions!$A$3:$X$333,19,0)&amp;""</f>
        <v>This helps an organization create a business continuity plan and incident recovery plan.</v>
      </c>
      <c r="D285" s="57" t="str">
        <f>VLOOKUP($A285,Questions!$A$3:$X$333,20,0)&amp;""</f>
        <v/>
      </c>
    </row>
    <row r="286" spans="1:5" ht="65.25" customHeight="1" x14ac:dyDescent="0.3">
      <c r="A286" s="57" t="s">
        <v>429</v>
      </c>
      <c r="B286" s="57" t="str">
        <f>VLOOKUP($A286,Questions!$A$3:$X$333,2,0)&amp;""</f>
        <v>Do you have documented technical and procedural processes to address potential negative impacts of AI as described by the AI Risk Management Framework (RMF)?</v>
      </c>
      <c r="C286" s="57" t="str">
        <f>VLOOKUP($A286,Questions!$A$3:$X$333,19,0)&amp;""</f>
        <v>This question helps maximize the value of the AI feature(s) while minimizing the negative impacts of AI.</v>
      </c>
      <c r="D286" s="57" t="str">
        <f>VLOOKUP($A286,Questions!$A$3:$X$333,20,0)&amp;""</f>
        <v>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v>
      </c>
    </row>
    <row r="287" spans="1:5" s="57" customFormat="1" ht="18.75" customHeight="1" x14ac:dyDescent="0.3">
      <c r="A287" s="63" t="str">
        <f>VLOOKUP(LEFT($A288,4),'Auto Responses'!$N$4:$O$38,2,0)&amp;""</f>
        <v xml:space="preserve"> AI Data Security</v>
      </c>
      <c r="B287" s="63"/>
      <c r="C287" s="56" t="str">
        <f>Questions!$S$2</f>
        <v>Reason for Question</v>
      </c>
      <c r="D287" s="56" t="str">
        <f>Questions!$T$2</f>
        <v>Follow-Up Inquiries/Responses</v>
      </c>
    </row>
    <row r="288" spans="1:5" s="57" customFormat="1" ht="67.5" x14ac:dyDescent="0.3">
      <c r="A288" s="57" t="s">
        <v>431</v>
      </c>
      <c r="B288" s="57" t="str">
        <f>VLOOKUP($A288,Questions!$A$3:$X$333,2,0)&amp;""</f>
        <v>If sensitive data is introduced to your solution's AI model, can the data be removed from the AI model by request?*</v>
      </c>
      <c r="C288" s="57" t="str">
        <f>VLOOKUP($A288,Questions!$A$3:$X$333,19,0)&amp;""</f>
        <v>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v>
      </c>
      <c r="D288" s="57" t="str">
        <f>VLOOKUP($A288,Questions!$A$3:$X$333,20,0)&amp;""</f>
        <v>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v>
      </c>
    </row>
    <row r="289" spans="1:5" ht="67.5" x14ac:dyDescent="0.3">
      <c r="A289" s="57" t="s">
        <v>433</v>
      </c>
      <c r="B289" s="57" t="str">
        <f>VLOOKUP($A289,Questions!$A$3:$X$333,2,0)&amp;""</f>
        <v>Is user input data used to influence your solution's AI model?*</v>
      </c>
      <c r="C289" s="57" t="str">
        <f>VLOOKUP($A289,Questions!$A$3:$X$333,19,0)&amp;""</f>
        <v>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v>
      </c>
      <c r="D289" s="57" t="str">
        <f>VLOOKUP($A289,Questions!$A$3:$X$333,20,0)&amp;""</f>
        <v>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v>
      </c>
    </row>
    <row r="290" spans="1:5" ht="54" x14ac:dyDescent="0.25">
      <c r="A290" s="57" t="s">
        <v>435</v>
      </c>
      <c r="B290" s="57" t="str">
        <f>VLOOKUP($A290,Questions!$A$3:$X$333,2,0)&amp;""</f>
        <v>Do you provide logging for your solution's AI feature(s) that includes user, date, and action taken?*</v>
      </c>
      <c r="C290" s="57" t="str">
        <f>VLOOKUP($A290,Questions!$A$3:$X$333,19,0)&amp;""</f>
        <v>This question helps institutions confirm whether AI features can be audited for user activity, data use, and system behavior. Audit logging supports regulatory compliance, incident response, and transparency in environments handling sensitive or regulated data.</v>
      </c>
      <c r="D290" s="57" t="str">
        <f>VLOOKUP($A290,Questions!$A$3:$X$333,20,0)&amp;""</f>
        <v>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v>
      </c>
      <c r="E290" s="237" t="s">
        <v>665</v>
      </c>
    </row>
    <row r="291" spans="1:5" ht="54" x14ac:dyDescent="0.3">
      <c r="A291" s="57" t="s">
        <v>437</v>
      </c>
      <c r="B291" s="57" t="str">
        <f>VLOOKUP($A291,Questions!$A$3:$X$333,2,0)&amp;""</f>
        <v>Please describe how you validate user inputs.</v>
      </c>
      <c r="C291" s="57" t="str">
        <f>VLOOKUP($A291,Questions!$A$3:$X$333,19,0)&amp;""</f>
        <v>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v>
      </c>
      <c r="D291" s="57" t="str">
        <f>VLOOKUP($A291,Questions!$A$3:$X$333,20,0)&amp;""</f>
        <v>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v>
      </c>
    </row>
    <row r="292" spans="1:5" ht="67.5" x14ac:dyDescent="0.3">
      <c r="A292" s="57" t="s">
        <v>439</v>
      </c>
      <c r="B292" s="57" t="str">
        <f>VLOOKUP($A292,Questions!$A$3:$X$333,2,0)&amp;""</f>
        <v>Do you plan for and mitigate supply-chain risk related to your AI features?</v>
      </c>
      <c r="C292" s="57" t="str">
        <f>VLOOKUP($A292,Questions!$A$3:$X$333,19,0)&amp;""</f>
        <v>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v>
      </c>
      <c r="D292" s="57" t="str">
        <f>VLOOKUP($A292,Questions!$A$3:$X$333,20,0)&amp;""</f>
        <v>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v>
      </c>
    </row>
    <row r="293" spans="1:5" ht="36.75" customHeight="1" x14ac:dyDescent="0.3">
      <c r="A293" s="63" t="str">
        <f>VLOOKUP(LEFT($A294,4),'Auto Responses'!$N$4:$O$38,2,0)&amp;""</f>
        <v xml:space="preserve"> AI Machine Learning</v>
      </c>
      <c r="B293" s="63"/>
      <c r="C293" s="56" t="str">
        <f>Questions!$S$2</f>
        <v>Reason for Question</v>
      </c>
      <c r="D293" s="56" t="str">
        <f>Questions!$T$2</f>
        <v>Follow-Up Inquiries/Responses</v>
      </c>
    </row>
    <row r="294" spans="1:5" ht="94.5" x14ac:dyDescent="0.3">
      <c r="A294" s="57" t="s">
        <v>440</v>
      </c>
      <c r="B294" s="57" t="str">
        <f>VLOOKUP($A294,Questions!$A$3:$X$333,2,0)&amp;""</f>
        <v>Do you separate ML training data from your ML solution data?*</v>
      </c>
      <c r="C294" s="57" t="str">
        <f>VLOOKUP($A294,Questions!$A$3:$X$333,19,0)&amp;""</f>
        <v>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v>
      </c>
      <c r="D294" s="57" t="str">
        <f>VLOOKUP($A294,Questions!$A$3:$X$333,20,0)&amp;""</f>
        <v>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v>
      </c>
    </row>
    <row r="295" spans="1:5" ht="40.5" x14ac:dyDescent="0.3">
      <c r="A295" s="57" t="s">
        <v>442</v>
      </c>
      <c r="B295" s="57" t="str">
        <f>VLOOKUP($A295,Questions!$A$3:$X$333,2,0)&amp;""</f>
        <v>Do you authenticate and verify your ML model's feedback?*</v>
      </c>
      <c r="C295" s="57" t="str">
        <f>VLOOKUP($A295,Questions!$A$3:$X$333,19,0)&amp;""</f>
        <v>Verifying ML model feedback helps prevent skewing attacks that could distort predictions or reduce reliability.</v>
      </c>
      <c r="D295" s="57" t="str">
        <f>VLOOKUP($A295,Questions!$A$3:$X$333,20,0)&amp;""</f>
        <v>Understand whether any other controls or processes are in place that would mitigate the risk of the vendor not doing the authentication or verification. How does the vendor perform trigger-sweep evaluations?</v>
      </c>
    </row>
    <row r="296" spans="1:5" ht="27" x14ac:dyDescent="0.3">
      <c r="A296" s="57" t="s">
        <v>444</v>
      </c>
      <c r="B296" s="57" t="str">
        <f>VLOOKUP($A296,Questions!$A$3:$X$333,2,0)&amp;""</f>
        <v>Is your ML training data vetted, validated, and verified before training the solution's AI model?</v>
      </c>
      <c r="C296" s="57" t="str">
        <f>VLOOKUP($A296,Questions!$A$3:$X$333,19,0)&amp;""</f>
        <v>This process can reduce the risk of errors or bias, as well as poor data quality undermining the model's accuracy and integrity.</v>
      </c>
      <c r="D296" s="57" t="str">
        <f>VLOOKUP($A296,Questions!$A$3:$X$333,20,0)&amp;""</f>
        <v>What other controls are in place as a substitute to this process? If not all steps are complete, what part of the process is currently being done?</v>
      </c>
    </row>
    <row r="297" spans="1:5" ht="54" x14ac:dyDescent="0.3">
      <c r="A297" s="57" t="s">
        <v>446</v>
      </c>
      <c r="B297" s="57" t="str">
        <f>VLOOKUP($A297,Questions!$A$3:$X$333,2,0)&amp;""</f>
        <v>Is your ML training data monitored and audited?</v>
      </c>
      <c r="C297" s="57" t="str">
        <f>VLOOKUP($A297,Questions!$A$3:$X$333,19,0)&amp;""</f>
        <v>Training data can be targeted by attackers to influence the ML model’s behavior in harmful ways.</v>
      </c>
      <c r="D297" s="57" t="str">
        <f>VLOOKUP($A297,Questions!$A$3:$X$333,20,0)&amp;""</f>
        <v>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v>
      </c>
    </row>
    <row r="298" spans="1:5" ht="27" x14ac:dyDescent="0.3">
      <c r="A298" s="57" t="s">
        <v>448</v>
      </c>
      <c r="B298" s="57" t="str">
        <f>VLOOKUP($A298,Questions!$A$3:$X$333,2,0)&amp;""</f>
        <v>Have you limited access to your ML training data to only staff with an explicit business need?</v>
      </c>
      <c r="C298" s="57" t="str">
        <f>VLOOKUP($A298,Questions!$A$3:$X$333,19,0)&amp;""</f>
        <v>Training data can be targeted by attackers to influence the ML model’s behavior in harmful ways.</v>
      </c>
      <c r="D298" s="57" t="str">
        <f>VLOOKUP($A298,Questions!$A$3:$X$333,20,0)&amp;""</f>
        <v/>
      </c>
    </row>
    <row r="299" spans="1:5" ht="36" customHeight="1" x14ac:dyDescent="0.3">
      <c r="A299" s="57" t="s">
        <v>450</v>
      </c>
      <c r="B299" s="57" t="str">
        <f>VLOOKUP($A299,Questions!$A$3:$X$333,2,0)&amp;""</f>
        <v>Have you implemented adversarial training or other model defense mechanisms to protect your ML-related features?</v>
      </c>
      <c r="C299" s="57" t="str">
        <f>VLOOKUP($A299,Questions!$A$3:$X$333,19,0)&amp;""</f>
        <v>Adversarial training and defenses help keep models resilient against manipulation and evasion attacks.</v>
      </c>
      <c r="D299" s="57" t="str">
        <f>VLOOKUP($A299,Questions!$A$3:$X$333,20,0)&amp;""</f>
        <v>What adversarial training is performed on the ML? What defense mechanisms are incorporated into the ML? How is the input validated for the ML?</v>
      </c>
    </row>
    <row r="300" spans="1:5" ht="58.5" customHeight="1" x14ac:dyDescent="0.3">
      <c r="A300" s="57" t="s">
        <v>452</v>
      </c>
      <c r="B300" s="57" t="str">
        <f>VLOOKUP($A300,Questions!$A$3:$X$333,2,0)&amp;""</f>
        <v>Do you make your ML model transparent through documentation and log inputs and outputs?</v>
      </c>
      <c r="C300" s="57" t="str">
        <f>VLOOKUP($A300,Questions!$A$3:$X$333,19,0)&amp;""</f>
        <v>This process helps ensure accountability and detect misuse or anomalies.</v>
      </c>
      <c r="D300" s="57" t="str">
        <f>VLOOKUP($A300,Questions!$A$3:$X$333,20,0)&amp;""</f>
        <v>How long are input/output logs retained, and how is log data protected? How often are transparency and logging processes reviewed or updated? Do logs enable post-hoc trigger correlation?</v>
      </c>
    </row>
    <row r="301" spans="1:5" ht="48" customHeight="1" x14ac:dyDescent="0.3">
      <c r="A301" s="57" t="s">
        <v>453</v>
      </c>
      <c r="B301" s="57" t="str">
        <f>VLOOKUP($A301,Questions!$A$3:$X$333,2,0)&amp;""</f>
        <v>Do you watermark your ML training data?</v>
      </c>
      <c r="C301" s="57" t="str">
        <f>VLOOKUP($A301,Questions!$A$3:$X$333,19,0)&amp;""</f>
        <v>Watermarking training data supports traceability, making it easier to detect misuse and respond to incidents.</v>
      </c>
      <c r="D301" s="57" t="str">
        <f>VLOOKUP($A301,Questions!$A$3:$X$333,20,0)&amp;""</f>
        <v>Are all training datasets watermarked, or only specific subsets? Are there any policies, procedures, or controls in place that would serve as substitutes or compensating measures for this practice?</v>
      </c>
    </row>
    <row r="302" spans="1:5" ht="39" customHeight="1" x14ac:dyDescent="0.3">
      <c r="A302" s="63" t="str">
        <f>VLOOKUP(LEFT($A303,4),'Auto Responses'!$N$4:$O$38,2,0)&amp;""</f>
        <v xml:space="preserve"> AI Large Language Model (LLM)</v>
      </c>
      <c r="B302" s="63"/>
      <c r="C302" s="56" t="str">
        <f>Questions!$S$2</f>
        <v>Reason for Question</v>
      </c>
      <c r="D302" s="56" t="str">
        <f>Questions!$T$2</f>
        <v>Follow-Up Inquiries/Responses</v>
      </c>
    </row>
    <row r="303" spans="1:5" ht="40.5" customHeight="1" x14ac:dyDescent="0.3">
      <c r="A303" s="57" t="s">
        <v>455</v>
      </c>
      <c r="B303" s="57" t="str">
        <f>VLOOKUP($A303,Questions!$A$3:$X$333,2,0)&amp;""</f>
        <v>Do you limit your solution's LLM privileges by default?*</v>
      </c>
      <c r="C303" s="57" t="str">
        <f>VLOOKUP($A303,Questions!$A$3:$X$333,19,0)&amp;""</f>
        <v>This question addresses misuse, exfiltration/change risk, and over-privileged behavior. It supports accountable operations and auditability.</v>
      </c>
      <c r="D303" s="57" t="str">
        <f>VLOOKUP($A303,Questions!$A$3:$X$333,20,0)&amp;""</f>
        <v>Is the LLM's API token unique? How do you segregate external content from user prompts? Do you manually monitor LLM input and output periodically?</v>
      </c>
    </row>
    <row r="304" spans="1:5" ht="54" customHeight="1" x14ac:dyDescent="0.25">
      <c r="A304" s="57" t="s">
        <v>457</v>
      </c>
      <c r="B304" s="57" t="str">
        <f>VLOOKUP($A304,Questions!$A$3:$X$333,2,0)&amp;""</f>
        <v>Is your LLM training data vetted, validated, and verified before training the solution's AI model?*</v>
      </c>
      <c r="C304" s="57" t="str">
        <f>VLOOKUP($A304,Questions!$A$3:$X$333,19,0)&amp;""</f>
        <v>Assures lawful, ethical, and auditable data use while reducing IP and privacy risk. This is key to trustworthy AI and effective audits.</v>
      </c>
      <c r="D304" s="57" t="str">
        <f>VLOOKUP($A304,Questions!$A$3:$X$333,20,0)&amp;""</f>
        <v>Request a dataset register with provenance records, license documentation, and change-control history. Request sample outputs of PII scrubbing/anonymization processes, results of bias/safety evaluations, and records of dataset refresh or retirement events.</v>
      </c>
      <c r="E304" s="237" t="s">
        <v>665</v>
      </c>
    </row>
    <row r="305" spans="1:5" ht="63.75" customHeight="1" x14ac:dyDescent="0.3">
      <c r="A305" s="57" t="s">
        <v>458</v>
      </c>
      <c r="B305" s="57" t="str">
        <f>VLOOKUP($A305,Questions!$A$3:$X$333,2,0)&amp;""</f>
        <v>Do any actions taken by your solution's LLM features or plugins require human intervention?*</v>
      </c>
      <c r="C305" s="57" t="str">
        <f>VLOOKUP($A305,Questions!$A$3:$X$333,19,0)&amp;""</f>
        <v>Prevents autonomous risky actions or misconfigurations and enforces accountability. This limits excessive agency.</v>
      </c>
      <c r="D305" s="57" t="str">
        <f>VLOOKUP($A305,Questions!$A$3:$X$333,20,0)&amp;""</f>
        <v>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v>
      </c>
    </row>
    <row r="306" spans="1:5" ht="52.5" customHeight="1" x14ac:dyDescent="0.3">
      <c r="A306" s="57" t="s">
        <v>459</v>
      </c>
      <c r="B306" s="57" t="str">
        <f>VLOOKUP($A306,Questions!$A$3:$X$333,2,0)&amp;""</f>
        <v>Do you limit multiple LLM model plugins being called as part of a single input?*</v>
      </c>
      <c r="C306" s="57" t="str">
        <f>VLOOKUP($A306,Questions!$A$3:$X$333,19,0)&amp;""</f>
        <v>Reduces supply-chain and prompt-injection risk, controls attack surface, and clarifies accountability. Aligns with governance expectations.</v>
      </c>
      <c r="D306" s="57" t="str">
        <f>VLOOKUP($A306,Questions!$A$3:$X$333,20,0)&amp;""</f>
        <v>Request a list of all plugins/tools callable by the LLM and the allow-listing criteria/review cadence. Ask for the validation approach, sandbox/egress rules, and test evidence.</v>
      </c>
    </row>
    <row r="307" spans="1:5" ht="78" customHeight="1" x14ac:dyDescent="0.3">
      <c r="A307" s="57" t="s">
        <v>460</v>
      </c>
      <c r="B307" s="57" t="str">
        <f>VLOOKUP($A307,Questions!$A$3:$X$333,2,0)&amp;""</f>
        <v>Do you limit your solution's LLM resource use per request, per step, and per action?</v>
      </c>
      <c r="C307" s="57" t="str">
        <f>VLOOKUP($A307,Questions!$A$3:$X$333,19,0)&amp;""</f>
        <v>Prevents denial-of-service and cost overruns from excessive or malicious consumption. Demonstrates managed, measurable operations.</v>
      </c>
      <c r="D307" s="57" t="str">
        <f>VLOOKUP($A307,Questions!$A$3:$X$333,20,0)&amp;""</f>
        <v>Request current default versus maximum token/CPU/memory quotas per tenant, monitoring dashboards of usage, and alerts or incidents where throttling was triggered. Ask about runbooks for resource spikes, evidence of recent resource reviews, and escalation paths.</v>
      </c>
    </row>
    <row r="308" spans="1:5" ht="62.25" customHeight="1" x14ac:dyDescent="0.3">
      <c r="A308" s="57" t="s">
        <v>461</v>
      </c>
      <c r="B308" s="57" t="str">
        <f>VLOOKUP($A308,Questions!$A$3:$X$333,2,0)&amp;""</f>
        <v>Do you leverage LLM model tuning or other model validation mechanisms?</v>
      </c>
      <c r="C308" s="57" t="str">
        <f>VLOOKUP($A308,Questions!$A$3:$X$333,19,0)&amp;""</f>
        <v>Mitigates hallucinations and ensures decisions rely on verifiable information. Supports trustworthy outcomes and reduces downstream misuse.</v>
      </c>
      <c r="D308" s="57" t="str">
        <f>VLOOKUP($A308,Questions!$A$3:$X$333,20,0)&amp;""</f>
        <v>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v>
      </c>
    </row>
    <row r="309" spans="1:5" ht="41.25" customHeight="1" x14ac:dyDescent="0.3">
      <c r="A309" s="57" t="s">
        <v>540</v>
      </c>
      <c r="B309" s="57" t="str">
        <f>VLOOKUP($A309,Questions!$A$3:$X$333,2,0)&amp;""</f>
        <v>Will data be collected from or processed in or stored in China?</v>
      </c>
      <c r="C309" s="57" t="str">
        <f>VLOOKUP($A309,Questions!$A$3:$X$333,19,0)&amp;""</f>
        <v>Understanding whether the vendor processes data in China may help with institutional PIPL compliance.</v>
      </c>
      <c r="D309" s="57" t="str">
        <f>VLOOKUP($A309,Questions!$A$3:$X$333,20,0)&amp;""</f>
        <v>If institution's intended use includes targeting of data subjects in China and if vendor marks "no," institution might want to follow up to clarify data collected.</v>
      </c>
    </row>
    <row r="310" spans="1:5" ht="34.5" customHeight="1" x14ac:dyDescent="0.25">
      <c r="A310" s="57" t="s">
        <v>542</v>
      </c>
      <c r="B310" s="57" t="str">
        <f>VLOOKUP($A310,Questions!$A$3:$X$333,2,0)&amp;""</f>
        <v>Do you comply with PIPL security, privacy, and data localization requirements?</v>
      </c>
      <c r="C310" s="57" t="str">
        <f>VLOOKUP($A310,Questions!$A$3:$X$333,19,0)&amp;""</f>
        <v>Vendors targeting services in China should have the ability to comply with PIPL requirements.</v>
      </c>
      <c r="D310" s="57" t="str">
        <f>VLOOKUP($A310,Questions!$A$3:$X$333,20,0)&amp;""</f>
        <v/>
      </c>
      <c r="E310" s="237" t="s">
        <v>665</v>
      </c>
    </row>
    <row r="311" spans="1:5" ht="17.5" x14ac:dyDescent="0.3">
      <c r="A311" s="63" t="str">
        <f>VLOOKUP(LEFT($A312,4),'Auto Responses'!$N$4:$O$38,2,0)&amp;""</f>
        <v xml:space="preserve"> General Privacy</v>
      </c>
      <c r="B311" s="63"/>
      <c r="C311" s="56" t="str">
        <f>Questions!$S$2</f>
        <v>Reason for Question</v>
      </c>
      <c r="D311" s="56" t="str">
        <f>Questions!$T$2</f>
        <v>Follow-Up Inquiries/Responses</v>
      </c>
    </row>
    <row r="312" spans="1:5" ht="27" x14ac:dyDescent="0.3">
      <c r="A312" s="57" t="s">
        <v>464</v>
      </c>
      <c r="B312" s="57" t="str">
        <f>VLOOKUP($A312,Questions!$A$3:$X$333,2,0)&amp;""</f>
        <v>Does your solution process FERPA-related data?</v>
      </c>
      <c r="C312" s="57" t="str">
        <f>VLOOKUP($A312,Questions!$A$3:$X$333,19,0)&amp;""</f>
        <v>This question will help the institution gain an understanding of the types of data processed by this product or service.</v>
      </c>
      <c r="D312" s="57" t="str">
        <f>VLOOKUP($A312,Questions!$A$3:$X$333,20,0)&amp;""</f>
        <v>Will data be re-disclosed and/or used for any purpose other than directly providing the service, including quality assurance or marketing?</v>
      </c>
    </row>
    <row r="313" spans="1:5" ht="27" x14ac:dyDescent="0.3">
      <c r="A313" s="57" t="s">
        <v>466</v>
      </c>
      <c r="B313" s="57" t="str">
        <f>VLOOKUP($A313,Questions!$A$3:$X$333,2,0)&amp;""</f>
        <v>Does your solution process GDPR-related or PIPL-related data?</v>
      </c>
      <c r="C313" s="57" t="str">
        <f>VLOOKUP($A313,Questions!$A$3:$X$333,19,0)&amp;""</f>
        <v>This question will help the institution gain an understanding of the types of data processed by this product or service.</v>
      </c>
      <c r="D313" s="57" t="str">
        <f>VLOOKUP($A313,Questions!$A$3:$X$333,20,0)&amp;""</f>
        <v/>
      </c>
    </row>
    <row r="314" spans="1:5" ht="27" x14ac:dyDescent="0.3">
      <c r="A314" s="57" t="s">
        <v>468</v>
      </c>
      <c r="B314" s="57" t="str">
        <f>VLOOKUP($A314,Questions!$A$3:$X$333,2,0)&amp;""</f>
        <v>Does your solution process personal data regulated by state law(s) (e.g., CCPA)?</v>
      </c>
      <c r="C314" s="57" t="str">
        <f>VLOOKUP($A314,Questions!$A$3:$X$333,19,0)&amp;""</f>
        <v>This question will help the institution gain an understanding of the types of data processed by this product or service.</v>
      </c>
      <c r="D314" s="57" t="str">
        <f>VLOOKUP($A314,Questions!$A$3:$X$333,20,0)&amp;""</f>
        <v/>
      </c>
    </row>
    <row r="315" spans="1:5" ht="27" x14ac:dyDescent="0.3">
      <c r="A315" s="57" t="s">
        <v>470</v>
      </c>
      <c r="B315" s="57" t="str">
        <f>VLOOKUP($A315,Questions!$A$3:$X$333,2,0)&amp;""</f>
        <v>Does your solution process user-provided data that may contain regulated information?</v>
      </c>
      <c r="C315" s="57" t="str">
        <f>VLOOKUP($A315,Questions!$A$3:$X$333,19,0)&amp;""</f>
        <v>This question will help the institution gain an understanding of the types of data processed by this product or service.</v>
      </c>
      <c r="D315" s="57" t="str">
        <f>VLOOKUP($A315,Questions!$A$3:$X$333,20,0)&amp;""</f>
        <v/>
      </c>
    </row>
    <row r="316" spans="1:5" ht="43.5" customHeight="1" x14ac:dyDescent="0.3">
      <c r="A316" s="57" t="s">
        <v>472</v>
      </c>
      <c r="B316" s="57" t="str">
        <f>VLOOKUP($A316,Questions!$A$3:$X$333,2,0)&amp;""</f>
        <v>Web Link to Product/Service Privacy Notice</v>
      </c>
      <c r="C316" s="57" t="str">
        <f>VLOOKUP($A316,Questions!$A$3:$X$333,19,0)&amp;""</f>
        <v>To ensure transparency and verify the vendor provides accessible privacy documentation that institutions can review and share with stakeholders.</v>
      </c>
      <c r="D316" s="57" t="str">
        <f>VLOOKUP($A316,Questions!$A$3:$X$333,20,0)&amp;""</f>
        <v>Please provide the direct URL to your privacy policy and confirm how frequently it is reviewed and updated.</v>
      </c>
    </row>
    <row r="317" spans="1:5" ht="17.5" x14ac:dyDescent="0.3">
      <c r="A317" s="63" t="str">
        <f>VLOOKUP(LEFT($A318,4),'Auto Responses'!$N$4:$O$38,2,0)&amp;""</f>
        <v xml:space="preserve"> Privacy-Specific Company Details</v>
      </c>
      <c r="B317" s="63"/>
      <c r="C317" s="56" t="str">
        <f>Questions!$S$2</f>
        <v>Reason for Question</v>
      </c>
      <c r="D317" s="56" t="str">
        <f>Questions!$T$2</f>
        <v>Follow-Up Inquiries/Responses</v>
      </c>
    </row>
    <row r="318" spans="1:5" ht="58.5" customHeight="1" x14ac:dyDescent="0.3">
      <c r="A318" s="57" t="s">
        <v>474</v>
      </c>
      <c r="B318" s="57" t="str">
        <f>VLOOKUP($A318,Questions!$A$3:$X$333,2,0)&amp;""</f>
        <v>Have you had a personal data breach in the past three years that involved reporting to a governmental agency, notice to individuals (including voluntary notice), or notice to another organization or institution?*</v>
      </c>
      <c r="C318" s="57" t="str">
        <f>VLOOKUP($A318,Questions!$A$3:$X$333,19,0)&amp;""</f>
        <v>Having a previous data breach can indicate a level of risk that will indicate that the institution should further investigate changes made after the breach.</v>
      </c>
      <c r="D318" s="57" t="str">
        <f>VLOOKUP($A318,Questions!$A$3:$X$333,20,0)&amp;""</f>
        <v/>
      </c>
    </row>
    <row r="319" spans="1:5" ht="39.75" customHeight="1" x14ac:dyDescent="0.3">
      <c r="A319" s="57" t="s">
        <v>475</v>
      </c>
      <c r="B319" s="57" t="str">
        <f>VLOOKUP($A319,Questions!$A$3:$X$333,2,0)&amp;""</f>
        <v>Use this area to share information about your privacy practices that will assist those who are assessing your company data privacy program.*</v>
      </c>
      <c r="C319" s="57" t="str">
        <f>VLOOKUP($A319,Questions!$A$3:$X$333,19,0)&amp;""</f>
        <v>To gather voluntary disclosures that provide additional context beyond required responses, helping assessors understand the vendor's privacy culture and proactive commitment to data protection.</v>
      </c>
      <c r="D319" s="57" t="str">
        <f>VLOOKUP($A319,Questions!$A$3:$X$333,20,0)&amp;""</f>
        <v/>
      </c>
    </row>
    <row r="320" spans="1:5" ht="36.75" customHeight="1" x14ac:dyDescent="0.3">
      <c r="A320" s="57" t="s">
        <v>477</v>
      </c>
      <c r="B320" s="57" t="str">
        <f>VLOOKUP($A320,Questions!$A$3:$X$333,2,0)&amp;""</f>
        <v>Have you had any violations of your internal privacy policies or violations of applicable privacy law in the past 36 months?</v>
      </c>
      <c r="C320" s="57" t="str">
        <f>VLOOKUP($A320,Questions!$A$3:$X$333,19,0)&amp;""</f>
        <v>This question solicits information about internal privacy policy violations and/or violations of applicable privacy law in the past three years.</v>
      </c>
      <c r="D320" s="57" t="str">
        <f>VLOOKUP($A320,Questions!$A$3:$X$333,20,0)&amp;""</f>
        <v/>
      </c>
    </row>
    <row r="321" spans="1:5" ht="40.5" customHeight="1" x14ac:dyDescent="0.3">
      <c r="A321" s="57" t="s">
        <v>478</v>
      </c>
      <c r="B321" s="57" t="str">
        <f>VLOOKUP($A321,Questions!$A$3:$X$333,2,0)&amp;""</f>
        <v>Do you have a dedicated data privacy staff or office?</v>
      </c>
      <c r="C321" s="57" t="str">
        <f>VLOOKUP($A321,Questions!$A$3:$X$333,19,0)&amp;""</f>
        <v>Any solution provider processing protected student data should have resources/staff dedicated to the protection of the data.</v>
      </c>
      <c r="D321" s="57" t="str">
        <f>VLOOKUP($A321,Questions!$A$3:$X$333,20,0)&amp;""</f>
        <v/>
      </c>
    </row>
    <row r="322" spans="1:5" ht="35.25" customHeight="1" x14ac:dyDescent="0.3">
      <c r="A322" s="63" t="str">
        <f>VLOOKUP(LEFT($A323,4),'Auto Responses'!$N$4:$O$38,2,0)&amp;""</f>
        <v xml:space="preserve"> Privacy-Specific Documentation</v>
      </c>
      <c r="B322" s="63"/>
      <c r="C322" s="56" t="str">
        <f>Questions!$S$2</f>
        <v>Reason for Question</v>
      </c>
      <c r="D322" s="56" t="str">
        <f>Questions!$T$2</f>
        <v>Follow-Up Inquiries/Responses</v>
      </c>
    </row>
    <row r="323" spans="1:5" ht="33.75" customHeight="1" x14ac:dyDescent="0.3">
      <c r="A323" s="57" t="s">
        <v>480</v>
      </c>
      <c r="B323" s="57" t="str">
        <f>VLOOKUP($A323,Questions!$A$3:$X$333,2,0)&amp;""</f>
        <v>If you have completed a SOC 2 audit, does it include the Privacy Trust Service Principle?</v>
      </c>
      <c r="C323" s="57" t="str">
        <f>VLOOKUP($A323,Questions!$A$3:$X$333,19,0)&amp;""</f>
        <v>This is specifically asking for the Privacy Trust Service Principle, which is not always included in a SOC 2 audit.</v>
      </c>
      <c r="D323" s="57" t="str">
        <f>VLOOKUP($A323,Questions!$A$3:$X$333,20,0)&amp;""</f>
        <v/>
      </c>
    </row>
    <row r="324" spans="1:5" ht="78" customHeight="1" x14ac:dyDescent="0.3">
      <c r="A324" s="57" t="s">
        <v>482</v>
      </c>
      <c r="B324" s="57" t="str">
        <f>VLOOKUP($A324,Questions!$A$3:$X$333,2,0)&amp;""</f>
        <v>Do you conform with a specific industry-standard privacy framework (e.g., NIST Privacy Framework, GDPR, ISO 27701)?</v>
      </c>
      <c r="C324" s="57" t="str">
        <f>VLOOKUP($A324,Questions!$A$3:$X$333,19,0)&amp;""</f>
        <v>Conformance with industry privacy frameworks can demonstrate an organization's privacy posture and can provide clients a sense of comfort as to the organization's commitment to protection of personal data.</v>
      </c>
      <c r="D324" s="57" t="str">
        <f>VLOOKUP($A324,Questions!$A$3:$X$333,20,0)&amp;""</f>
        <v>If the organization relies on more than one framework or only on portions of a framework, has this been mapped to the Security Controls Framework? If so, please provide a copy of the mapping used.</v>
      </c>
    </row>
    <row r="325" spans="1:5" ht="98.25" customHeight="1" x14ac:dyDescent="0.3">
      <c r="A325" s="57" t="s">
        <v>484</v>
      </c>
      <c r="B325" s="57" t="str">
        <f>VLOOKUP($A325,Questions!$A$3:$X$333,2,0)&amp;""</f>
        <v>Does your employee onboarding and offboarding policy include training of employees on information security and data privacy?</v>
      </c>
      <c r="C325" s="57" t="str">
        <f>VLOOKUP($A325,Questions!$A$3:$X$333,19,0)&amp;""</f>
        <v>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v>
      </c>
      <c r="D325" s="57" t="str">
        <f>VLOOKUP($A325,Questions!$A$3:$X$333,20,0)&amp;""</f>
        <v>If training is provided to specific employee groups only, please provide information as to which groups and an overview of the training for each group.</v>
      </c>
    </row>
    <row r="326" spans="1:5" ht="21" customHeight="1" x14ac:dyDescent="0.25">
      <c r="A326" s="63" t="str">
        <f>VLOOKUP(LEFT($A327,4),'Auto Responses'!$N$4:$O$38,2,0)&amp;""</f>
        <v xml:space="preserve"> Privacy of Third Parties</v>
      </c>
      <c r="B326" s="63"/>
      <c r="C326" s="56" t="str">
        <f>Questions!$S$2</f>
        <v>Reason for Question</v>
      </c>
      <c r="D326" s="56" t="str">
        <f>Questions!$T$2</f>
        <v>Follow-Up Inquiries/Responses</v>
      </c>
      <c r="E326" s="237" t="s">
        <v>665</v>
      </c>
    </row>
    <row r="327" spans="1:5" ht="40.5" x14ac:dyDescent="0.3">
      <c r="A327" s="57" t="s">
        <v>486</v>
      </c>
      <c r="B327" s="57" t="str">
        <f>VLOOKUP($A327,Questions!$A$3:$X$333,2,0)&amp;""</f>
        <v>Do you have contractual agreements with third parties that require them to maintain standards and to comply with all regulatory requirements?*</v>
      </c>
      <c r="C327" s="57" t="str">
        <f>VLOOKUP($A327,Questions!$A$3:$X$333,19,0)&amp;""</f>
        <v>Inclusion of language in contractual agreements ensures third parties are aware of and have agreed to their obligations to maintain standards and comply with all regulatory requirements in regards to protection of personal data they handle on behalf of the organization.</v>
      </c>
      <c r="D327" s="57" t="str">
        <f>VLOOKUP($A327,Questions!$A$3:$X$333,20,0)&amp;""</f>
        <v/>
      </c>
    </row>
    <row r="328" spans="1:5" ht="129.75" customHeight="1" x14ac:dyDescent="0.3">
      <c r="A328" s="57" t="s">
        <v>488</v>
      </c>
      <c r="B328" s="57" t="str">
        <f>VLOOKUP($A328,Questions!$A$3:$X$333,2,0)&amp;""</f>
        <v>Do you perform privacy impact assessments of third parties that collect, process, or have access to personal data to ensure they meet industry and regulatory standards and to mitigate harmful, unethical, or discriminatory impacts on data subjects?</v>
      </c>
      <c r="C328" s="57" t="str">
        <f>VLOOKUP($A328,Questions!$A$3:$X$333,19,0)&amp;""</f>
        <v>The organization providing a product or service cannot reasonably claim it appropriately protects privacy of information entrusted to it if it relies on third parties or subprocessors that do not likewise meet or exceed the claimed levels of protection.</v>
      </c>
      <c r="D328" s="57" t="str">
        <f>VLOOKUP($A328,Questions!$A$3:$X$333,20,0)&amp;""</f>
        <v>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v>
      </c>
    </row>
    <row r="329" spans="1:5" ht="17.5" x14ac:dyDescent="0.3">
      <c r="A329" s="63" t="str">
        <f>VLOOKUP(LEFT($A330,4),'Auto Responses'!$N$4:$O$38,2,0)&amp;""</f>
        <v xml:space="preserve"> Privacy Change Management</v>
      </c>
      <c r="B329" s="63"/>
      <c r="C329" s="56" t="str">
        <f>Questions!$S$2</f>
        <v>Reason for Question</v>
      </c>
      <c r="D329" s="56" t="str">
        <f>Questions!$T$2</f>
        <v>Follow-Up Inquiries/Responses</v>
      </c>
    </row>
    <row r="330" spans="1:5" ht="43" customHeight="1" x14ac:dyDescent="0.3">
      <c r="A330" s="57" t="s">
        <v>490</v>
      </c>
      <c r="B330" s="57" t="str">
        <f>VLOOKUP($A330,Questions!$A$3:$X$333,2,0)&amp;""</f>
        <v>Does your change management process include privacy review and approval?</v>
      </c>
      <c r="C330" s="57" t="str">
        <f>VLOOKUP($A330,Questions!$A$3:$X$333,19,0)&amp;""</f>
        <v>It is important that change management not overlook any privacy considerations.</v>
      </c>
      <c r="D330" s="57" t="str">
        <f>VLOOKUP($A330,Questions!$A$3:$X$333,20,0)&amp;""</f>
        <v>If the answer is yes, describe the process; if the answer is no, describe plans to implement.</v>
      </c>
    </row>
    <row r="331" spans="1:5" ht="43" customHeight="1" x14ac:dyDescent="0.3">
      <c r="A331" s="57" t="s">
        <v>492</v>
      </c>
      <c r="B331" s="57" t="str">
        <f>VLOOKUP($A331,Questions!$A$3:$X$333,2,0)&amp;""</f>
        <v>Do you have policy and procedure, currently implemented, guiding how privacy risks are mitigated until they can be resolved?</v>
      </c>
      <c r="C331" s="57" t="str">
        <f>VLOOKUP($A331,Questions!$A$3:$X$333,19,0)&amp;""</f>
        <v>It is important to have a procedure in place to mitigate privacy risks as they come up.</v>
      </c>
      <c r="D331" s="57" t="str">
        <f>VLOOKUP($A331,Questions!$A$3:$X$333,20,0)&amp;""</f>
        <v>If the answer is yes, describe the process; if the answer is no, describe plans to implement.</v>
      </c>
    </row>
    <row r="332" spans="1:5" ht="17.5" x14ac:dyDescent="0.3">
      <c r="A332" s="63" t="str">
        <f>VLOOKUP(LEFT($A333,4),'Auto Responses'!$N$4:$O$38,2,0)&amp;""</f>
        <v xml:space="preserve"> Privacy of Sensitive Data</v>
      </c>
      <c r="B332" s="63"/>
      <c r="C332" s="56" t="str">
        <f>Questions!$S$2</f>
        <v>Reason for Question</v>
      </c>
      <c r="D332" s="56" t="str">
        <f>Questions!$T$2</f>
        <v>Follow-Up Inquiries/Responses</v>
      </c>
    </row>
    <row r="333" spans="1:5" ht="43" customHeight="1" x14ac:dyDescent="0.3">
      <c r="A333" s="57" t="s">
        <v>494</v>
      </c>
      <c r="B333" s="57" t="str">
        <f>VLOOKUP($A333,Questions!$A$3:$X$333,2,0)&amp;""</f>
        <v>Do you collect, process, or store demographic information?*</v>
      </c>
      <c r="C333" s="57" t="str">
        <f>VLOOKUP($A333,Questions!$A$3:$X$333,19,0)&amp;""</f>
        <v>This data can be included in data sets that are deidentified but is sensitive data that could be reidentified if paired with other data points.</v>
      </c>
      <c r="D333" s="57" t="str">
        <f>VLOOKUP($A333,Questions!$A$3:$X$333,20,0)&amp;""</f>
        <v>Because of the nature of such data, it is important to have a full understanding of how the data is used and protected.</v>
      </c>
    </row>
    <row r="334" spans="1:5" ht="43" customHeight="1" x14ac:dyDescent="0.3">
      <c r="A334" s="57" t="s">
        <v>496</v>
      </c>
      <c r="B334" s="57" t="str">
        <f>VLOOKUP($A334,Questions!$A$3:$X$333,2,0)&amp;""</f>
        <v>Do you capture or create genetic, biometric, or behaviometric information (e.g., facial recognition or fingerprints)?*</v>
      </c>
      <c r="C334" s="57" t="str">
        <f>VLOOKUP($A334,Questions!$A$3:$X$333,19,0)&amp;""</f>
        <v>This data can be included in data sets that are deidentified but is sensitive data that could be reidentified if paired with other data points.</v>
      </c>
      <c r="D334" s="57" t="str">
        <f>VLOOKUP($A334,Questions!$A$3:$X$333,20,0)&amp;""</f>
        <v>Because of the nature of such data, it is important to have a full understanding of how the data is used and protected.</v>
      </c>
    </row>
    <row r="335" spans="1:5" ht="43" customHeight="1" x14ac:dyDescent="0.3">
      <c r="A335" s="57" t="s">
        <v>497</v>
      </c>
      <c r="B335" s="57" t="str">
        <f>VLOOKUP($A335,Questions!$A$3:$X$333,2,0)&amp;""</f>
        <v>Do you combine institutional data (including "de-identified," "anonymized," or otherwise masked data) with personal data from any other sources?*</v>
      </c>
      <c r="C335" s="57" t="str">
        <f>VLOOKUP($A335,Questions!$A$3:$X$333,19,0)&amp;""</f>
        <v>To identify potential re-identification risks and ensure the vendor doesn't merge institutional data with external datasets in ways that could compromise privacy protections or violate data use restrictions.</v>
      </c>
      <c r="D335" s="57" t="str">
        <f>VLOOKUP($A335,Questions!$A$3:$X$333,20,0)&amp;""</f>
        <v>If yes, describe what types of external data sources are combined with institutional data and for what purposes.</v>
      </c>
    </row>
    <row r="336" spans="1:5" ht="43" customHeight="1" x14ac:dyDescent="0.3">
      <c r="A336" s="57" t="s">
        <v>499</v>
      </c>
      <c r="B336" s="57" t="str">
        <f>VLOOKUP($A336,Questions!$A$3:$X$333,2,0)&amp;""</f>
        <v>Is institutional data coming into or going out of the United States at any point during collection, processing, storage, or archiving?</v>
      </c>
      <c r="C336" s="57" t="str">
        <f>VLOOKUP($A336,Questions!$A$3:$X$333,19,0)&amp;""</f>
        <v>To assess cross-border data transfer risks and ensure compliance with international privacy regulations including GDPR, data localization requirements, and data sovereignty considerations.</v>
      </c>
      <c r="D336" s="57" t="str">
        <f>VLOOKUP($A336,Questions!$A$3:$X$333,20,0)&amp;""</f>
        <v>If yes, identify which countries data flows to/from and what safeguards are in place (e.g., Standard Contractual Clauses, adequacy decisions).</v>
      </c>
    </row>
    <row r="337" spans="1:5" ht="43" customHeight="1" x14ac:dyDescent="0.3">
      <c r="A337" s="57" t="s">
        <v>501</v>
      </c>
      <c r="B337" s="57" t="str">
        <f>VLOOKUP($A337,Questions!$A$3:$X$333,2,0)&amp;""</f>
        <v>Do you capture device information (e.g., IP address, MAC address)?</v>
      </c>
      <c r="C337" s="57" t="str">
        <f>VLOOKUP($A337,Questions!$A$3:$X$333,19,0)&amp;""</f>
        <v>This question can clarify whether there are any indirect identifiers that don't appear to be readily identifiable but that could be identifiable in the event of unauthorized access or use.</v>
      </c>
      <c r="D337" s="57" t="str">
        <f>VLOOKUP($A337,Questions!$A$3:$X$333,20,0)&amp;""</f>
        <v/>
      </c>
    </row>
    <row r="338" spans="1:5" ht="43" customHeight="1" x14ac:dyDescent="0.25">
      <c r="A338" s="57" t="s">
        <v>503</v>
      </c>
      <c r="B338" s="57" t="str">
        <f>VLOOKUP($A338,Questions!$A$3:$X$333,2,0)&amp;""</f>
        <v>Does any part of this service/project involve a web/app tracking component (e.g., use of web-tracking pixels, cookies)?</v>
      </c>
      <c r="C338" s="57" t="str">
        <f>VLOOKUP($A338,Questions!$A$3:$X$333,19,0)&amp;""</f>
        <v>Web tracking can be used to identify users via their IP address, login information, browser information, etc.</v>
      </c>
      <c r="D338" s="57" t="str">
        <f>VLOOKUP($A338,Questions!$A$3:$X$333,20,0)&amp;""</f>
        <v/>
      </c>
      <c r="E338" s="237" t="s">
        <v>665</v>
      </c>
    </row>
    <row r="339" spans="1:5" ht="43" customHeight="1" x14ac:dyDescent="0.3">
      <c r="A339" s="57" t="s">
        <v>505</v>
      </c>
      <c r="B339" s="57" t="str">
        <f>VLOOKUP($A339,Questions!$A$3:$X$333,2,0)&amp;""</f>
        <v>Does your staff (or a third party) have access to institutional data (e.g., financial, PHI, or other sensitive information) through any means?</v>
      </c>
      <c r="C339" s="57" t="str">
        <f>VLOOKUP($A339,Questions!$A$3:$X$333,19,0)&amp;""</f>
        <v>Institutional data may be sensitive in nature and should only be accessed for legitimate business purposes.</v>
      </c>
      <c r="D339" s="57" t="str">
        <f>VLOOKUP($A339,Questions!$A$3:$X$333,20,0)&amp;""</f>
        <v/>
      </c>
    </row>
    <row r="340" spans="1:5" ht="43" customHeight="1" x14ac:dyDescent="0.3">
      <c r="A340" s="57" t="s">
        <v>507</v>
      </c>
      <c r="B340" s="57" t="str">
        <f>VLOOKUP($A340,Questions!$A$3:$X$333,2,0)&amp;""</f>
        <v>Will you handle personal data in a manner compliant with all relevant laws, regulations, and applicable institution policies?</v>
      </c>
      <c r="C340" s="57" t="str">
        <f>VLOOKUP($A340,Questions!$A$3:$X$333,19,0)&amp;""</f>
        <v>Personal data that is handled improperly or against law/regulation can have significant negative impact.</v>
      </c>
      <c r="D340" s="57" t="str">
        <f>VLOOKUP($A340,Questions!$A$3:$X$333,20,0)&amp;""</f>
        <v/>
      </c>
    </row>
    <row r="341" spans="1:5" ht="43" customHeight="1" x14ac:dyDescent="0.3">
      <c r="A341" s="63" t="str">
        <f>VLOOKUP(LEFT($A342,4),'Auto Responses'!$N$4:$O$38,2,0)&amp;""</f>
        <v xml:space="preserve"> Privacy Policies and Procedures</v>
      </c>
      <c r="B341" s="63"/>
      <c r="C341" s="56" t="str">
        <f>Questions!$S$2</f>
        <v>Reason for Question</v>
      </c>
      <c r="D341" s="56" t="str">
        <f>Questions!$T$2</f>
        <v>Follow-Up Inquiries/Responses</v>
      </c>
    </row>
    <row r="342" spans="1:5" ht="43" customHeight="1" x14ac:dyDescent="0.3">
      <c r="A342" s="57" t="s">
        <v>509</v>
      </c>
      <c r="B342" s="57" t="str">
        <f>VLOOKUP($A342,Questions!$A$3:$X$333,2,0)&amp;""</f>
        <v>Do you have a documented privacy management process?</v>
      </c>
      <c r="C342" s="57" t="str">
        <f>VLOOKUP($A342,Questions!$A$3:$X$333,19,0)&amp;""</f>
        <v>It's important for customers to know their data will remain private after being shared with the vendor.</v>
      </c>
      <c r="D342" s="57" t="str">
        <f>VLOOKUP($A342,Questions!$A$3:$X$333,20,0)&amp;""</f>
        <v>Are your internal privacy practices and obligations documented in internal corporate privacy policy/policies? Does the internal privacy policy explain your organization's policies and practices regarding collection of personal information and other data about individuals?</v>
      </c>
    </row>
    <row r="343" spans="1:5" ht="43" customHeight="1" x14ac:dyDescent="0.3">
      <c r="A343" s="57" t="s">
        <v>511</v>
      </c>
      <c r="B343" s="57" t="str">
        <f>VLOOKUP($A343,Questions!$A$3:$X$333,2,0)&amp;""</f>
        <v>Are privacy principles designed into the product lifecycle (i.e., privacy-by-design)?</v>
      </c>
      <c r="C343" s="57" t="str">
        <f>VLOOKUP($A343,Questions!$A$3:$X$333,19,0)&amp;""</f>
        <v>Building privacy principles into the product lifecycle (e.g., privacy-by-design) can help ease the privacy management process.</v>
      </c>
      <c r="D343" s="57" t="str">
        <f>VLOOKUP($A343,Questions!$A$3:$X$333,20,0)&amp;""</f>
        <v/>
      </c>
    </row>
    <row r="344" spans="1:5" ht="43" customHeight="1" x14ac:dyDescent="0.25">
      <c r="A344" s="57" t="s">
        <v>513</v>
      </c>
      <c r="B344" s="57" t="str">
        <f>VLOOKUP($A344,Questions!$A$3:$X$333,2,0)&amp;""</f>
        <v>Will you comply with applicable breach notification laws?</v>
      </c>
      <c r="C344" s="57" t="str">
        <f>VLOOKUP($A344,Questions!$A$3:$X$333,19,0)&amp;""</f>
        <v>It's very important to get out in front of the impact from a system breach. Once a breach has been confirmed, timely communication is imperative.</v>
      </c>
      <c r="D344" s="57" t="str">
        <f>VLOOKUP($A344,Questions!$A$3:$X$333,20,0)&amp;""</f>
        <v>This is usually dictated by the government agency for the geographic region and, possibly, by your cybersecurity insurance carrier.</v>
      </c>
      <c r="E344" s="237" t="s">
        <v>665</v>
      </c>
    </row>
    <row r="345" spans="1:5" ht="43" customHeight="1" x14ac:dyDescent="0.3">
      <c r="A345" s="57" t="s">
        <v>514</v>
      </c>
      <c r="B345" s="57" t="str">
        <f>VLOOKUP($A345,Questions!$A$3:$X$333,2,0)&amp;""</f>
        <v>Will you comply with the institution's policies regarding user privacy and data protection?</v>
      </c>
      <c r="C345" s="57" t="str">
        <f>VLOOKUP($A345,Questions!$A$3:$X$333,19,0)&amp;""</f>
        <v>This question can help gauge a solution provider's willingness to align with institutional data privacy and protection policies before the contracting stage.</v>
      </c>
      <c r="D345" s="57" t="str">
        <f>VLOOKUP($A345,Questions!$A$3:$X$333,20,0)&amp;""</f>
        <v>Do any parts of your institutional policy conflict with the solution provider's standard practices?</v>
      </c>
    </row>
    <row r="346" spans="1:5" ht="65.25" customHeight="1" x14ac:dyDescent="0.3">
      <c r="A346" s="57" t="s">
        <v>516</v>
      </c>
      <c r="B346" s="57" t="str">
        <f>VLOOKUP($A346,Questions!$A$3:$X$333,2,0)&amp;""</f>
        <v>Is your company subject to the laws and regulations of the institution's geographic region?</v>
      </c>
      <c r="C346" s="57" t="str">
        <f>VLOOKUP($A346,Questions!$A$3:$X$333,19,0)&amp;""</f>
        <v>This question identifies whether the institution and solution provider are beholden to the same laws. If not, this should be covered in the contract.</v>
      </c>
      <c r="D346" s="57" t="str">
        <f>VLOOKUP($A346,Questions!$A$3:$X$333,20,0)&amp;""</f>
        <v>Which laws apply to your operations in institution's region? Where is institutional data processed or stored? Provide a link or document summarizing your compliance stance.</v>
      </c>
    </row>
    <row r="347" spans="1:5" ht="54" x14ac:dyDescent="0.3">
      <c r="A347" s="57" t="s">
        <v>518</v>
      </c>
      <c r="B347" s="57" t="str">
        <f>VLOOKUP($A347,Questions!$A$3:$X$333,2,0)&amp;""</f>
        <v>Do you have a privacy awareness/training program?*</v>
      </c>
      <c r="C347" s="57" t="str">
        <f>VLOOKUP($A347,Questions!$A$3:$X$333,19,0)&amp;""</f>
        <v>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v>
      </c>
      <c r="D347" s="57" t="str">
        <f>VLOOKUP($A347,Questions!$A$3:$X$333,20,0)&amp;""</f>
        <v/>
      </c>
    </row>
    <row r="348" spans="1:5" ht="43" customHeight="1" x14ac:dyDescent="0.3">
      <c r="A348" s="57" t="s">
        <v>520</v>
      </c>
      <c r="B348" s="57" t="str">
        <f>VLOOKUP($A348,Questions!$A$3:$X$333,2,0)&amp;""</f>
        <v>Is privacy awareness training mandatory for all employees?</v>
      </c>
      <c r="C348" s="57" t="str">
        <f>VLOOKUP($A348,Questions!$A$3:$X$333,19,0)&amp;""</f>
        <v>This question serves a critical purpose in evaluating a vendor or institution’s commitment to data protection, risk mitigation, and regulatory compliance.</v>
      </c>
      <c r="D348" s="57" t="str">
        <f>VLOOKUP($A348,Questions!$A$3:$X$333,20,0)&amp;""</f>
        <v>This question helps assess whether privacy is treated as an organizational responsibility and whether the institution enforces consistent practices to reduce human risk factors.</v>
      </c>
    </row>
    <row r="349" spans="1:5" ht="43" customHeight="1" x14ac:dyDescent="0.3">
      <c r="A349" s="57" t="s">
        <v>522</v>
      </c>
      <c r="B349" s="57" t="str">
        <f>VLOOKUP($A349,Questions!$A$3:$X$333,2,0)&amp;""</f>
        <v>Is AI privacy and ethics awareness/training required for all employees who work with AI?</v>
      </c>
      <c r="C349" s="57" t="str">
        <f>VLOOKUP($A349,Questions!$A$3:$X$333,19,0)&amp;""</f>
        <v>This question is intended to assess whether an institution or vendor is proactively managing the risks, responsibilities, and ethical implications of AI use, especially as it relates to sensitive data, autonomy, and fairness.</v>
      </c>
      <c r="D349" s="57" t="str">
        <f>VLOOKUP($A349,Questions!$A$3:$X$333,20,0)&amp;""</f>
        <v>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v>
      </c>
    </row>
    <row r="350" spans="1:5" ht="70.5" customHeight="1" x14ac:dyDescent="0.25">
      <c r="A350" s="57" t="s">
        <v>524</v>
      </c>
      <c r="B350" s="57" t="str">
        <f>VLOOKUP($A350,Questions!$A$3:$X$333,2,0)&amp;""</f>
        <v>Do you have any decision-making processes that are completely automated (i.e., there is no human involvement)?</v>
      </c>
      <c r="C350" s="57" t="str">
        <f>VLOOKUP($A350,Questions!$A$3:$X$333,19,0)&amp;""</f>
        <v>This question identifies potential privacy, ethical, security, and compliance risks that may arise from fully automated systems, especially those that affect individuals or their data.</v>
      </c>
      <c r="D350" s="57" t="str">
        <f>VLOOKUP($A350,Questions!$A$3:$X$333,20,0)&amp;""</f>
        <v>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v>
      </c>
      <c r="E350" s="237" t="s">
        <v>665</v>
      </c>
    </row>
    <row r="351" spans="1:5" ht="54" x14ac:dyDescent="0.3">
      <c r="A351" s="57" t="s">
        <v>526</v>
      </c>
      <c r="B351" s="57" t="str">
        <f>VLOOKUP($A351,Questions!$A$3:$X$333,2,0)&amp;""</f>
        <v>Do you have a documented process for managing automated processing, including validations, monitoring, and data subject requests?</v>
      </c>
      <c r="C351" s="57" t="str">
        <f>VLOOKUP($A351,Questions!$A$3:$X$333,19,0)&amp;""</f>
        <v>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v>
      </c>
      <c r="D351" s="57" t="str">
        <f>VLOOKUP($A351,Questions!$A$3:$X$333,20,0)&amp;""</f>
        <v/>
      </c>
    </row>
    <row r="352" spans="1:5" ht="43" customHeight="1" x14ac:dyDescent="0.3">
      <c r="A352" s="57" t="s">
        <v>528</v>
      </c>
      <c r="B352" s="57" t="str">
        <f>VLOOKUP($A352,Questions!$A$3:$X$333,2,0)&amp;""</f>
        <v>Do you have a documented policy for sharing information with law enforcement?</v>
      </c>
      <c r="C352" s="57" t="str">
        <f>VLOOKUP($A352,Questions!$A$3:$X$333,19,0)&amp;""</f>
        <v>The institution should know which laws apply to the data to which the solution provider will have access. You should also have a thorough understanding of how requests from law enforcement will be handled.</v>
      </c>
      <c r="D352" s="57" t="str">
        <f>VLOOKUP($A352,Questions!$A$3:$X$333,20,0)&amp;""</f>
        <v/>
      </c>
    </row>
    <row r="353" spans="1:5" ht="43" customHeight="1" x14ac:dyDescent="0.3">
      <c r="A353" s="57" t="s">
        <v>530</v>
      </c>
      <c r="B353" s="57" t="str">
        <f>VLOOKUP($A353,Questions!$A$3:$X$333,2,0)&amp;""</f>
        <v>Do you share any institutional data with law enforcement without a valid warrant or subpoena?*</v>
      </c>
      <c r="C353" s="57" t="str">
        <f>VLOOKUP($A353,Questions!$A$3:$X$333,19,0)&amp;""</f>
        <v>To protect institutional and individual privacy rights by ensuring data is only disclosed to law enforcement through proper legal channels with appropriate due process protections.</v>
      </c>
      <c r="D353" s="57" t="str">
        <f>VLOOKUP($A353,Questions!$A$3:$X$333,20,0)&amp;""</f>
        <v>If yes, under what circumstances and with what documentation/notification to the institution?</v>
      </c>
    </row>
    <row r="354" spans="1:5" ht="43" customHeight="1" x14ac:dyDescent="0.3">
      <c r="A354" s="57" t="s">
        <v>532</v>
      </c>
      <c r="B354" s="57" t="str">
        <f>VLOOKUP($A354,Questions!$A$3:$X$333,2,0)&amp;""</f>
        <v>Does your incident response team include a privacy analyst/officer?</v>
      </c>
      <c r="C354" s="57" t="str">
        <f>VLOOKUP($A354,Questions!$A$3:$X$333,19,0)&amp;""</f>
        <v>Having a privacy analyst/officer on an incident response team can help the company more quickly identify a breach and comply with applicable notification laws.</v>
      </c>
      <c r="D354" s="57" t="str">
        <f>VLOOKUP($A354,Questions!$A$3:$X$333,20,0)&amp;""</f>
        <v/>
      </c>
    </row>
    <row r="355" spans="1:5" ht="43" customHeight="1" x14ac:dyDescent="0.3">
      <c r="A355" s="63" t="str">
        <f>VLOOKUP(LEFT($A356,4),'Auto Responses'!$N$4:$O$38,2,0)&amp;""</f>
        <v xml:space="preserve"> International Privacy</v>
      </c>
      <c r="B355" s="63"/>
      <c r="C355" s="56" t="str">
        <f>Questions!$S$2</f>
        <v>Reason for Question</v>
      </c>
      <c r="D355" s="56" t="str">
        <f>Questions!$T$2</f>
        <v>Follow-Up Inquiries/Responses</v>
      </c>
    </row>
    <row r="356" spans="1:5" ht="43" customHeight="1" x14ac:dyDescent="0.25">
      <c r="A356" s="57" t="s">
        <v>534</v>
      </c>
      <c r="B356" s="57" t="str">
        <f>VLOOKUP($A356,Questions!$A$3:$X$333,2,0)&amp;""</f>
        <v>Will data be collected from or processed in or stored in the European Economic Area (EEA)?</v>
      </c>
      <c r="C356" s="57" t="str">
        <f>VLOOKUP($A356,Questions!$A$3:$X$333,19,0)&amp;""</f>
        <v>Understanding whether the vendor processes data in Europe may help with institutional GDPR compliance.</v>
      </c>
      <c r="D356" s="57" t="str">
        <f>VLOOKUP($A356,Questions!$A$3:$X$333,20,0)&amp;""</f>
        <v>If institution's intended use includes targeting of data subjects in EEA/UK and if vendor marks "no," institution might want to follow up to clarify data collected.</v>
      </c>
      <c r="E356" s="237" t="s">
        <v>665</v>
      </c>
    </row>
    <row r="357" spans="1:5" ht="43" customHeight="1" x14ac:dyDescent="0.3">
      <c r="A357" s="57" t="s">
        <v>536</v>
      </c>
      <c r="B357" s="57" t="str">
        <f>VLOOKUP($A357,Questions!$A$3:$X$333,2,0)&amp;""</f>
        <v>Do you have a data protection officer (DPO)?</v>
      </c>
      <c r="C357" s="57" t="str">
        <f>VLOOKUP($A357,Questions!$A$3:$X$333,19,0)&amp;""</f>
        <v>Vendors targeting services in the EEA/UK should have GDPR-compliant policies and procedures.</v>
      </c>
      <c r="D357" s="57" t="str">
        <f>VLOOKUP($A357,Questions!$A$3:$X$333,20,0)&amp;""</f>
        <v/>
      </c>
    </row>
    <row r="358" spans="1:5" ht="43" customHeight="1" x14ac:dyDescent="0.3">
      <c r="A358" s="57" t="s">
        <v>538</v>
      </c>
      <c r="B358" s="57" t="str">
        <f>VLOOKUP($A358,Questions!$A$3:$X$333,2,0)&amp;""</f>
        <v>Will you sign appropriate GDPR Standard Contractual Clauses (SCCs) with the institution?</v>
      </c>
      <c r="C358" s="57" t="str">
        <f>VLOOKUP($A358,Questions!$A$3:$X$333,19,0)&amp;""</f>
        <v>Vendors targeting services in the EEA/UK should have the ability to agree to the SCCs.</v>
      </c>
      <c r="D358" s="57" t="str">
        <f>VLOOKUP($A358,Questions!$A$3:$X$333,20,0)&amp;""</f>
        <v/>
      </c>
    </row>
    <row r="359" spans="1:5" ht="43" customHeight="1" x14ac:dyDescent="0.3">
      <c r="A359" s="57" t="s">
        <v>540</v>
      </c>
      <c r="B359" s="57" t="str">
        <f>VLOOKUP($A359,Questions!$A$3:$X$333,2,0)&amp;""</f>
        <v>Will data be collected from or processed in or stored in China?</v>
      </c>
      <c r="C359" s="57" t="str">
        <f>VLOOKUP($A359,Questions!$A$3:$X$333,19,0)&amp;""</f>
        <v>Understanding whether the vendor processes data in China may help with institutional PIPL compliance.</v>
      </c>
      <c r="D359" s="57" t="str">
        <f>VLOOKUP($A359,Questions!$A$3:$X$333,20,0)&amp;""</f>
        <v>If institution's intended use includes targeting of data subjects in China and if vendor marks "no," institution might want to follow up to clarify data collected.</v>
      </c>
    </row>
    <row r="360" spans="1:5" ht="43" customHeight="1" x14ac:dyDescent="0.3">
      <c r="A360" s="57" t="s">
        <v>542</v>
      </c>
      <c r="B360" s="57" t="str">
        <f>VLOOKUP($A360,Questions!$A$3:$X$333,2,0)&amp;""</f>
        <v>Do you comply with PIPL security, privacy, and data localization requirements?</v>
      </c>
      <c r="C360" s="57" t="str">
        <f>VLOOKUP($A360,Questions!$A$3:$X$333,19,0)&amp;""</f>
        <v>Vendors targeting services in China should have the ability to comply with PIPL requirements.</v>
      </c>
      <c r="D360" s="57" t="str">
        <f>VLOOKUP($A360,Questions!$A$3:$X$333,20,0)&amp;""</f>
        <v/>
      </c>
    </row>
    <row r="361" spans="1:5" ht="43" customHeight="1" x14ac:dyDescent="0.3">
      <c r="A361" s="63" t="str">
        <f>VLOOKUP(LEFT($A362,4),'Auto Responses'!$N$4:$O$38,2,0)&amp;""</f>
        <v xml:space="preserve"> Data Privacy</v>
      </c>
      <c r="B361" s="63"/>
      <c r="C361" s="56" t="str">
        <f>Questions!$S$2</f>
        <v>Reason for Question</v>
      </c>
      <c r="D361" s="56" t="str">
        <f>Questions!$T$2</f>
        <v>Follow-Up Inquiries/Responses</v>
      </c>
    </row>
    <row r="362" spans="1:5" ht="43" customHeight="1" x14ac:dyDescent="0.3">
      <c r="A362" s="57" t="s">
        <v>544</v>
      </c>
      <c r="B362" s="57" t="str">
        <f>VLOOKUP($A362,Questions!$A$3:$X$333,2,0)&amp;""</f>
        <v>Have you performed a Data Privacy Impact Assessment for the solution/project?</v>
      </c>
      <c r="C362" s="57" t="str">
        <f>VLOOKUP($A362,Questions!$A$3:$X$333,19,0)&amp;""</f>
        <v>To verify the vendor has systematically evaluated privacy risks and implemented appropriate safeguards before deploying their solution, demonstrating privacy-by-design principles.</v>
      </c>
      <c r="D362" s="57" t="str">
        <f>VLOOKUP($A362,Questions!$A$3:$X$333,20,0)&amp;""</f>
        <v>Please provide a copy of the DPIA or summary of findings and mitigation measures.</v>
      </c>
    </row>
    <row r="363" spans="1:5" ht="43" customHeight="1" x14ac:dyDescent="0.3">
      <c r="A363" s="57" t="s">
        <v>546</v>
      </c>
      <c r="B363" s="57" t="str">
        <f>VLOOKUP($A363,Questions!$A$3:$X$333,2,0)&amp;""</f>
        <v>Do you provide an end-user privacy notice about privacy policies and procedures that identify the purpose(s) for which personal information is collected, used, retained, and disclosed?</v>
      </c>
      <c r="C363" s="57" t="str">
        <f>VLOOKUP($A363,Questions!$A$3:$X$333,19,0)&amp;""</f>
        <v>To ensure transparency with end users about data practices and compliance with privacy notice requirements under FERPA, GDPR, CCPA, and other applicable regulations.</v>
      </c>
      <c r="D363" s="57" t="str">
        <f>VLOOKUP($A363,Questions!$A$3:$X$333,20,0)&amp;""</f>
        <v>How do you inform users of changes to the policy?</v>
      </c>
    </row>
    <row r="364" spans="1:5" ht="43" customHeight="1" x14ac:dyDescent="0.3">
      <c r="A364" s="57" t="s">
        <v>548</v>
      </c>
      <c r="B364" s="57" t="str">
        <f>VLOOKUP($A364,Questions!$A$3:$X$333,2,0)&amp;""</f>
        <v>Do you describe the choices available to the individual and obtain implicit or explicit consent with respect to the collection, use, and disclosure of personal information?</v>
      </c>
      <c r="C364" s="57" t="str">
        <f>VLOOKUP($A364,Questions!$A$3:$X$333,19,0)&amp;""</f>
        <v>To verify meaningful consent mechanisms exist and users have adequate control over their personal information in accordance with fair information practice principles and regulatory requirements.</v>
      </c>
      <c r="D364" s="57" t="str">
        <f>VLOOKUP($A364,Questions!$A$3:$X$333,20,0)&amp;""</f>
        <v>Describe your consent mechanism and how users can withdraw consent if they choose.</v>
      </c>
    </row>
    <row r="365" spans="1:5" ht="43" customHeight="1" x14ac:dyDescent="0.25">
      <c r="A365" s="57" t="s">
        <v>550</v>
      </c>
      <c r="B365" s="57" t="str">
        <f>VLOOKUP($A365,Questions!$A$3:$X$333,2,0)&amp;""</f>
        <v>Do you collect personal information only for the purpose(s) identified in the agreement with an institution or, if there is none, the purpose(s) identified in the privacy notice?</v>
      </c>
      <c r="C365" s="57" t="str">
        <f>VLOOKUP($A365,Questions!$A$3:$X$333,19,0)&amp;""</f>
        <v>Companies may collect information for purposes not outlined in the service agreement, including quality assurance, marketing, etc. Institutions should have a thorough understanding of what data is being used and how.</v>
      </c>
      <c r="D365" s="57" t="str">
        <f>VLOOKUP($A365,Questions!$A$3:$X$333,20,0)&amp;""</f>
        <v/>
      </c>
      <c r="E365" s="237" t="s">
        <v>665</v>
      </c>
    </row>
    <row r="366" spans="1:5" ht="43" customHeight="1" x14ac:dyDescent="0.3">
      <c r="A366" s="57" t="s">
        <v>552</v>
      </c>
      <c r="B366" s="57" t="str">
        <f>VLOOKUP($A366,Questions!$A$3:$X$333,2,0)&amp;""</f>
        <v>Do you have a documented list of personal data your service maintains?</v>
      </c>
      <c r="C366" s="57" t="str">
        <f>VLOOKUP($A366,Questions!$A$3:$X$333,19,0)&amp;""</f>
        <v>To ensure the vendor maintains data inventory records necessary for privacy compliance, breach response, data subject rights requests, and understanding the full scope of data collection.</v>
      </c>
      <c r="D366" s="57" t="str">
        <f>VLOOKUP($A366,Questions!$A$3:$X$333,20,0)&amp;""</f>
        <v>Please provide your data inventory or map showing categories of personal data collected and retention periods.</v>
      </c>
    </row>
    <row r="367" spans="1:5" ht="43" customHeight="1" x14ac:dyDescent="0.3">
      <c r="A367" s="57" t="s">
        <v>554</v>
      </c>
      <c r="B367" s="57" t="str">
        <f>VLOOKUP($A367,Questions!$A$3:$X$333,2,0)&amp;""</f>
        <v>Do you retain personal information for only as long as necessary to fulfill the stated purpose(s) or as required by law or regulation and thereafter appropriately dispose of such information?</v>
      </c>
      <c r="C367" s="57" t="str">
        <f>VLOOKUP($A367,Questions!$A$3:$X$333,19,0)&amp;""</f>
        <v>Data minimization is a basic privacy principle, and it is important to know whether the solution provider is keeping data longer than necessary and introducing a significant privacy risk.</v>
      </c>
      <c r="D367" s="57" t="str">
        <f>VLOOKUP($A367,Questions!$A$3:$X$333,20,0)&amp;""</f>
        <v/>
      </c>
    </row>
    <row r="368" spans="1:5" ht="67.5" x14ac:dyDescent="0.3">
      <c r="A368" s="57" t="s">
        <v>556</v>
      </c>
      <c r="B368" s="57" t="str">
        <f>VLOOKUP($A368,Questions!$A$3:$X$333,2,0)&amp;""</f>
        <v>Do you provide individuals with access to their personal information for review and update (i.e., data subject rights)?</v>
      </c>
      <c r="C368" s="57" t="str">
        <f>VLOOKUP($A368,Questions!$A$3:$X$333,19,0)&amp;""</f>
        <v>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v>
      </c>
      <c r="D368" s="57" t="str">
        <f>VLOOKUP($A368,Questions!$A$3:$X$333,20,0)&amp;""</f>
        <v/>
      </c>
    </row>
    <row r="369" spans="1:5" ht="43" customHeight="1" x14ac:dyDescent="0.3">
      <c r="A369" s="57" t="s">
        <v>558</v>
      </c>
      <c r="B369" s="57" t="str">
        <f>VLOOKUP($A369,Questions!$A$3:$X$333,2,0)&amp;""</f>
        <v>Do you disclose personal information to third parties only for the purpose(s) identified in the privacy notice or with the implicit or explicit consent of the individual?</v>
      </c>
      <c r="C369" s="57" t="str">
        <f>VLOOKUP($A369,Questions!$A$3:$X$333,19,0)&amp;""</f>
        <v>To limit unauthorized third-party data sharing and ensure transparency about data flows beyond the direct vendor relationship, protecting against unexpected secondary uses.</v>
      </c>
      <c r="D369" s="57" t="str">
        <f>VLOOKUP($A369,Questions!$A$3:$X$333,20,0)&amp;""</f>
        <v>Provide a list of third parties who receive personal information and the purpose for each disclosure.</v>
      </c>
    </row>
    <row r="370" spans="1:5" ht="43" customHeight="1" x14ac:dyDescent="0.3">
      <c r="A370" s="57" t="s">
        <v>560</v>
      </c>
      <c r="B370" s="57" t="str">
        <f>VLOOKUP($A370,Questions!$A$3:$X$333,2,0)&amp;""</f>
        <v>Do you protect personal information against unauthorized access (both physical and logical)?</v>
      </c>
      <c r="C370" s="57" t="str">
        <f>VLOOKUP($A370,Questions!$A$3:$X$333,19,0)&amp;""</f>
        <v>To verify appropriate security controls are in place to protect personal data from breaches, unauthorized disclosure, and both external and internal threats.</v>
      </c>
      <c r="D370" s="57" t="str">
        <f>VLOOKUP($A370,Questions!$A$3:$X$333,20,0)&amp;""</f>
        <v>Describe your access control mechanisms, encryption methods, and incident response procedures.</v>
      </c>
    </row>
    <row r="371" spans="1:5" ht="43" customHeight="1" x14ac:dyDescent="0.3">
      <c r="A371" s="57" t="s">
        <v>562</v>
      </c>
      <c r="B371" s="57" t="str">
        <f>VLOOKUP($A371,Questions!$A$3:$X$333,2,0)&amp;""</f>
        <v>Do you maintain accurate, complete, and relevant personal information for the purposes identified in the privacy notice?</v>
      </c>
      <c r="C371" s="57" t="str">
        <f>VLOOKUP($A371,Questions!$A$3:$X$333,19,0)&amp;""</f>
        <v>To ensure data quality practices that prevent privacy harms from inaccurate or outdated personal information, particularly in contexts where data accuracy affects individual rights or opportunities.</v>
      </c>
      <c r="D371" s="57" t="str">
        <f>VLOOKUP($A371,Questions!$A$3:$X$333,20,0)&amp;""</f>
        <v>What processes do you have for individuals to review and correct their personal information?</v>
      </c>
    </row>
    <row r="372" spans="1:5" ht="43" customHeight="1" x14ac:dyDescent="0.25">
      <c r="A372" s="57" t="s">
        <v>564</v>
      </c>
      <c r="B372" s="57" t="str">
        <f>VLOOKUP($A372,Questions!$A$3:$X$333,2,0)&amp;""</f>
        <v>Do you have procedures to address privacy-related noncompliance complaints and disputes?</v>
      </c>
      <c r="C372" s="57" t="str">
        <f>VLOOKUP($A372,Questions!$A$3:$X$333,19,0)&amp;""</f>
        <v>To verify accountability mechanisms exist for addressing privacy concerns, providing recourse to affected individuals, and demonstrating responsiveness to privacy complaints.</v>
      </c>
      <c r="D372" s="57" t="str">
        <f>VLOOKUP($A372,Questions!$A$3:$X$333,20,0)&amp;""</f>
        <v>Describe your complaint handling process, typical response times, and escalation procedures.</v>
      </c>
      <c r="E372" s="237" t="s">
        <v>665</v>
      </c>
    </row>
    <row r="373" spans="1:5" ht="40.5" x14ac:dyDescent="0.3">
      <c r="A373" s="57" t="s">
        <v>566</v>
      </c>
      <c r="B373" s="57" t="str">
        <f>VLOOKUP($A373,Questions!$A$3:$X$333,2,0)&amp;""</f>
        <v>Do you "anonymize," "de-identify," or otherwise mask personal data?</v>
      </c>
      <c r="C373" s="57" t="str">
        <f>VLOOKUP($A373,Questions!$A$3:$X$333,19,0)&amp;""</f>
        <v>To understand the vendor's approach to privacy-enhancing techniques and assess whether data masking methods are appropriate, effective, and aligned with recognized anonymization standards.</v>
      </c>
      <c r="D373" s="57" t="str">
        <f>VLOOKUP($A373,Questions!$A$3:$X$333,20,0)&amp;""</f>
        <v>Describe your anonymization methodology and any validation or testing performed to ensure re-identification risks are minimized.</v>
      </c>
    </row>
    <row r="374" spans="1:5" ht="67.5" x14ac:dyDescent="0.3">
      <c r="A374" s="57" t="s">
        <v>568</v>
      </c>
      <c r="B374" s="57" t="str">
        <f>VLOOKUP($A374,Questions!$A$3:$X$333,2,0)&amp;""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374" s="57" t="str">
        <f>VLOOKUP($A374,Questions!$A$3:$X$333,19,0)&amp;""</f>
        <v>To prevent secondary use of institutional data that could undermine privacy protections, contradict institutional data governance policies, or enable commercial uses incompatible with educational purposes.</v>
      </c>
      <c r="D374" s="57" t="str">
        <f>VLOOKUP($A374,Questions!$A$3:$X$333,20,0)&amp;""</f>
        <v>If yes, provide details on secondary uses and obtain specific written consent from the institution for these uses.</v>
      </c>
    </row>
    <row r="375" spans="1:5" ht="67.5" x14ac:dyDescent="0.3">
      <c r="A375" s="57" t="s">
        <v>570</v>
      </c>
      <c r="B375" s="57" t="str">
        <f>VLOOKUP($A375,Questions!$A$3:$X$333,2,0)&amp;""</f>
        <v>Do you certify stop-processing requests, including any data that is processed by a third party on your behalf?</v>
      </c>
      <c r="C375" s="57" t="str">
        <f>VLOOKUP($A375,Questions!$A$3:$X$333,19,0)&amp;""</f>
        <v>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v>
      </c>
      <c r="D375" s="57" t="str">
        <f>VLOOKUP($A375,Questions!$A$3:$X$333,20,0)&amp;""</f>
        <v>If your organization has exchange programs or does business with global organizations or organizations located outside the United States, depending on the services sought, your institution should determine whether this is a requirement.</v>
      </c>
    </row>
    <row r="376" spans="1:5" ht="54" x14ac:dyDescent="0.3">
      <c r="A376" s="57" t="s">
        <v>572</v>
      </c>
      <c r="B376" s="57" t="str">
        <f>VLOOKUP($A376,Questions!$A$3:$X$333,2,0)&amp;""</f>
        <v>Do you have a process to review code for ethical considerations?</v>
      </c>
      <c r="C376" s="57" t="str">
        <f>VLOOKUP($A376,Questions!$A$3:$X$333,19,0)&amp;""</f>
        <v>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v>
      </c>
      <c r="D376" s="57" t="str">
        <f>VLOOKUP($A376,Questions!$A$3:$X$333,20,0)&amp;""</f>
        <v/>
      </c>
    </row>
    <row r="377" spans="1:5" ht="17.5" hidden="1" x14ac:dyDescent="0.3">
      <c r="A377" s="63" t="str">
        <f>VLOOKUP(LEFT($A378,4),'Auto Responses'!$N$4:$O$38,2,0)&amp;""</f>
        <v xml:space="preserve"> Privacy and AI</v>
      </c>
      <c r="B377" s="63"/>
      <c r="C377" s="56" t="str">
        <f>Questions!$S$2</f>
        <v>Reason for Question</v>
      </c>
      <c r="D377" s="56" t="str">
        <f>Questions!$T$2</f>
        <v>Follow-Up Inquiries/Responses</v>
      </c>
    </row>
    <row r="378" spans="1:5" ht="27" hidden="1" x14ac:dyDescent="0.3">
      <c r="A378" s="57" t="s">
        <v>574</v>
      </c>
      <c r="B378" s="57" t="str">
        <f>VLOOKUP($A378,Questions!$A$3:$X$333,2,0)&amp;""</f>
        <v>Does your service use AI for the processing of institutional data?</v>
      </c>
      <c r="C378" s="57" t="str">
        <f>VLOOKUP($A378,Questions!$A$3:$X$333,18,0)&amp;""</f>
        <v>Please explain why this does not apply to your product or service.</v>
      </c>
      <c r="D378" s="57" t="str">
        <f>VLOOKUP($A378,Questions!$A$3:$X$333,19,0)&amp;""</f>
        <v>To identify AI-related privacy risks including potential bias, unintended disclosures, lack of explainability in automated decision-making, and training data provenance concerns.</v>
      </c>
    </row>
    <row r="379" spans="1:5" ht="27" hidden="1" x14ac:dyDescent="0.3">
      <c r="A379" s="57" t="s">
        <v>575</v>
      </c>
      <c r="B379" s="57" t="str">
        <f>VLOOKUP($A379,Questions!$A$3:$X$333,2,0)&amp;""</f>
        <v>Is any institutional data retained in AI processing?*</v>
      </c>
      <c r="C379" s="57" t="str">
        <f>VLOOKUP($A379,Questions!$A$3:$X$333,18,0)&amp;""</f>
        <v>Please explain why this does not apply to your product or service.</v>
      </c>
      <c r="D379" s="57" t="str">
        <f>VLOOKUP($A379,Questions!$A$3:$X$333,19,0)&amp;""</f>
        <v>This question assesses whether institutional data is stored or retained during AI processing, which may have implications for data security, retention policies, and regulatory compliance.</v>
      </c>
    </row>
    <row r="380" spans="1:5" ht="27" hidden="1" x14ac:dyDescent="0.3">
      <c r="A380" s="57" t="s">
        <v>577</v>
      </c>
      <c r="B380" s="57" t="str">
        <f>VLOOKUP($A380,Questions!$A$3:$X$333,2,0)&amp;""</f>
        <v>Do you have agreements in place with third parties or subprocessors regarding the protection of customer data and use of AI?*</v>
      </c>
      <c r="C380" s="57" t="str">
        <f>VLOOKUP($A380,Questions!$A$3:$X$333,18,0)&amp;""</f>
        <v>Please explain why this does not apply to your product or service.</v>
      </c>
      <c r="D380" s="57" t="str">
        <f>VLOOKUP($A380,Questions!$A$3:$X$333,19,0)&amp;""</f>
        <v>It's important to ensure that third-party vendors or subprocessors involved in AI processing are contractually bound to protect institutional data and comply with privacy standards.</v>
      </c>
    </row>
    <row r="381" spans="1:5" ht="27" hidden="1" x14ac:dyDescent="0.3">
      <c r="A381" s="57" t="s">
        <v>579</v>
      </c>
      <c r="B381" s="57" t="str">
        <f>VLOOKUP($A381,Questions!$A$3:$X$333,2,0)&amp;""</f>
        <v>Will institutional data be processed through a third party or subprocessor that also uses AI?</v>
      </c>
      <c r="C381" s="57" t="str">
        <f>VLOOKUP($A381,Questions!$A$3:$X$333,18,0)&amp;""</f>
        <v>Please explain why this does not apply to your product or service.</v>
      </c>
      <c r="D381" s="57" t="str">
        <f>VLOOKUP($A381,Questions!$A$3:$X$333,19,0)&amp;""</f>
        <v>This question identifies whether institutional data is shared with or processed by third parties that use AI, which may introduce additional privacy or ethical considerations.</v>
      </c>
    </row>
    <row r="382" spans="1:5" ht="27" hidden="1" x14ac:dyDescent="0.3">
      <c r="A382" s="57" t="s">
        <v>581</v>
      </c>
      <c r="B382" s="57" t="str">
        <f>VLOOKUP($A382,Questions!$A$3:$X$333,2,0)&amp;""</f>
        <v>Is AI processing limited to fully licensed commercial enterprise AI services?</v>
      </c>
      <c r="C382" s="57" t="str">
        <f>VLOOKUP($A382,Questions!$A$3:$X$333,18,0)&amp;""</f>
        <v>Please explain why this does not apply to your product or service.</v>
      </c>
      <c r="D382" s="57" t="str">
        <f>VLOOKUP($A382,Questions!$A$3:$X$333,19,0)&amp;""</f>
        <v>In most cases, only enterprise licenses allow for an organization to customize what data is collected and how it is used. Free licenses to AI tools could introduce a risk to data.</v>
      </c>
    </row>
    <row r="383" spans="1:5" ht="40.5" hidden="1" x14ac:dyDescent="0.3">
      <c r="A383" s="57" t="s">
        <v>583</v>
      </c>
      <c r="B383" s="57" t="str">
        <f>VLOOKUP($A383,Questions!$A$3:$X$333,2,0)&amp;""</f>
        <v>Will institutional data be used or processed by any shared AI services?</v>
      </c>
      <c r="C383" s="57" t="str">
        <f>VLOOKUP($A383,Questions!$A$3:$X$333,18,0)&amp;""</f>
        <v>Please explain why this does not apply to your product or service.</v>
      </c>
      <c r="D383" s="57" t="str">
        <f>VLOOKUP($A383,Questions!$A$3:$X$333,19,0)&amp;""</f>
        <v>Use of AI services and tools runs a risk of being supported by bad batches or databanks of information. Additionally, harmful bias and other data-quality issues can affect AI system trustworthiness, which could lead to negative impacts.</v>
      </c>
    </row>
    <row r="384" spans="1:5" ht="54" hidden="1" x14ac:dyDescent="0.3">
      <c r="A384" s="57" t="s">
        <v>585</v>
      </c>
      <c r="B384" s="57" t="str">
        <f>VLOOKUP($A384,Questions!$A$3:$X$333,2,0)&amp;""</f>
        <v>Do you have safeguards in place to protect institutional data and data privacy from unintended AI queries or processing?</v>
      </c>
      <c r="C384" s="57" t="str">
        <f>VLOOKUP($A384,Questions!$A$3:$X$333,18,0)&amp;""</f>
        <v>Please explain why this does not apply to your product or service.</v>
      </c>
      <c r="D384" s="57" t="str">
        <f>VLOOKUP($A384,Questions!$A$3:$X$333,19,0)&amp;""</f>
        <v>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v>
      </c>
    </row>
    <row r="385" spans="1:4" ht="27" hidden="1" x14ac:dyDescent="0.3">
      <c r="A385" s="57" t="s">
        <v>587</v>
      </c>
      <c r="B385" s="57" t="str">
        <f>VLOOKUP($A385,Questions!$A$3:$X$333,2,0)&amp;""</f>
        <v>Do you provide choice to the user to opt out of AI use?</v>
      </c>
      <c r="C385" s="57" t="str">
        <f>VLOOKUP($A385,Questions!$A$3:$X$333,18,0)&amp;""</f>
        <v>Please explain why this does not apply to your product or service.</v>
      </c>
      <c r="D385" s="57" t="str">
        <f>VLOOKUP($A385,Questions!$A$3:$X$333,19,0)&amp;""</f>
        <v>To ensure user autonomy regarding AI processing of their data and compliance with emerging AI transparency requirements and ethical principles around algorithmic decision-making.</v>
      </c>
    </row>
  </sheetData>
  <phoneticPr fontId="30" type="noConversion"/>
  <hyperlinks>
    <hyperlink ref="A3" r:id="rId1" xr:uid="{41BD2702-361A-4A84-800B-915F790E3241}"/>
    <hyperlink ref="A4" r:id="rId2" xr:uid="{DD63660F-DB27-4595-A272-6F152889FED3}"/>
  </hyperlinks>
  <pageMargins left="0.7" right="0.7" top="0.75" bottom="0.75" header="0.3" footer="0.3"/>
  <pageSetup orientation="portrait" verticalDpi="0" r:id="rId3"/>
  <ignoredErrors>
    <ignoredError sqref="D17"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DD12-A215-4F94-9D0E-7008C3D3A25F}">
  <sheetPr>
    <tabColor rgb="FFFF0000"/>
    <outlinePr summaryBelow="0" summaryRight="0"/>
  </sheetPr>
  <dimension ref="A1:X963"/>
  <sheetViews>
    <sheetView zoomScale="80" zoomScaleNormal="80" workbookViewId="0">
      <pane xSplit="2" ySplit="2" topLeftCell="C325" activePane="bottomRight" state="frozen"/>
      <selection pane="topRight" activeCell="C1" sqref="C1"/>
      <selection pane="bottomLeft" activeCell="A2" sqref="A2"/>
      <selection pane="bottomRight" activeCell="O329" sqref="O329"/>
    </sheetView>
  </sheetViews>
  <sheetFormatPr defaultColWidth="8.59765625" defaultRowHeight="15.75" customHeight="1" x14ac:dyDescent="0.3"/>
  <cols>
    <col min="1" max="1" width="8.59765625" style="335" customWidth="1"/>
    <col min="2" max="2" width="35.59765625" style="335" customWidth="1"/>
    <col min="3" max="3" width="6.265625" style="335" customWidth="1"/>
    <col min="4" max="4" width="5.86328125" style="335" customWidth="1"/>
    <col min="5" max="5" width="6.59765625" style="335" customWidth="1"/>
    <col min="6" max="7" width="7.265625" style="335" customWidth="1"/>
    <col min="8" max="9" width="7.46484375" style="335" customWidth="1"/>
    <col min="10" max="10" width="6.86328125" style="335" customWidth="1"/>
    <col min="11" max="11" width="15.3984375" style="335" customWidth="1"/>
    <col min="12" max="12" width="12.59765625" style="335" customWidth="1"/>
    <col min="13" max="13" width="8.59765625" style="335" customWidth="1"/>
    <col min="14" max="20" width="18.265625" style="335" customWidth="1"/>
    <col min="21" max="22" width="8.59765625" style="335" customWidth="1"/>
    <col min="23" max="23" width="10.86328125" style="335" customWidth="1"/>
    <col min="24" max="24" width="11.265625" style="335" customWidth="1"/>
    <col min="25" max="16384" width="8.59765625" style="335"/>
  </cols>
  <sheetData>
    <row r="1" spans="1:24" ht="15.75" hidden="1" customHeight="1" x14ac:dyDescent="0.3">
      <c r="A1" s="334" t="s">
        <v>674</v>
      </c>
    </row>
    <row r="2" spans="1:24" ht="28" x14ac:dyDescent="0.3">
      <c r="A2" s="336" t="s">
        <v>675</v>
      </c>
      <c r="B2" s="336" t="s">
        <v>625</v>
      </c>
      <c r="C2" s="337" t="s">
        <v>676</v>
      </c>
      <c r="D2" s="337" t="s">
        <v>677</v>
      </c>
      <c r="E2" s="337" t="s">
        <v>678</v>
      </c>
      <c r="F2" s="337" t="s">
        <v>679</v>
      </c>
      <c r="G2" s="337" t="s">
        <v>680</v>
      </c>
      <c r="H2" s="337" t="s">
        <v>681</v>
      </c>
      <c r="I2" s="337" t="s">
        <v>682</v>
      </c>
      <c r="J2" s="337" t="s">
        <v>683</v>
      </c>
      <c r="K2" s="338" t="s">
        <v>684</v>
      </c>
      <c r="L2" s="337" t="s">
        <v>685</v>
      </c>
      <c r="M2" s="339" t="s">
        <v>686</v>
      </c>
      <c r="N2" s="337" t="s">
        <v>687</v>
      </c>
      <c r="O2" s="337" t="s">
        <v>688</v>
      </c>
      <c r="P2" s="337" t="s">
        <v>689</v>
      </c>
      <c r="Q2" s="337" t="s">
        <v>690</v>
      </c>
      <c r="R2" s="337" t="s">
        <v>691</v>
      </c>
      <c r="S2" s="340" t="s">
        <v>692</v>
      </c>
      <c r="T2" s="340" t="s">
        <v>693</v>
      </c>
      <c r="U2" s="341" t="s">
        <v>627</v>
      </c>
      <c r="V2" s="341" t="s">
        <v>694</v>
      </c>
      <c r="W2" s="341" t="s">
        <v>629</v>
      </c>
      <c r="X2" s="341" t="s">
        <v>695</v>
      </c>
    </row>
    <row r="3" spans="1:24" ht="14" x14ac:dyDescent="0.3">
      <c r="A3" s="342" t="s">
        <v>4</v>
      </c>
      <c r="B3" s="342" t="s">
        <v>696</v>
      </c>
      <c r="C3" s="342">
        <v>1</v>
      </c>
      <c r="D3" s="342">
        <v>1</v>
      </c>
      <c r="E3" s="342">
        <v>1</v>
      </c>
      <c r="F3" s="342">
        <v>1</v>
      </c>
      <c r="G3" s="342">
        <v>1</v>
      </c>
      <c r="H3" s="342">
        <v>1</v>
      </c>
      <c r="I3" s="342">
        <v>1</v>
      </c>
      <c r="J3" s="342">
        <v>1</v>
      </c>
      <c r="K3" s="342" t="s">
        <v>697</v>
      </c>
      <c r="L3" s="342" t="s">
        <v>698</v>
      </c>
      <c r="M3" s="342">
        <v>0</v>
      </c>
      <c r="N3" s="342" t="s">
        <v>699</v>
      </c>
      <c r="O3" s="342" t="s">
        <v>699</v>
      </c>
      <c r="P3" s="342" t="s">
        <v>699</v>
      </c>
      <c r="Q3" s="342" t="s">
        <v>699</v>
      </c>
      <c r="R3" s="342"/>
      <c r="S3" s="342" t="s">
        <v>699</v>
      </c>
      <c r="T3" s="342" t="s">
        <v>699</v>
      </c>
      <c r="U3" s="342" t="s">
        <v>700</v>
      </c>
      <c r="V3" s="342" t="s">
        <v>699</v>
      </c>
      <c r="W3" s="342" t="s">
        <v>699</v>
      </c>
      <c r="X3" s="342"/>
    </row>
    <row r="4" spans="1:24" ht="14" x14ac:dyDescent="0.3">
      <c r="A4" s="342" t="s">
        <v>6</v>
      </c>
      <c r="B4" s="342" t="s">
        <v>701</v>
      </c>
      <c r="C4" s="342">
        <v>1</v>
      </c>
      <c r="D4" s="342">
        <v>1</v>
      </c>
      <c r="E4" s="342">
        <v>1</v>
      </c>
      <c r="F4" s="342">
        <v>1</v>
      </c>
      <c r="G4" s="342">
        <v>1</v>
      </c>
      <c r="H4" s="342">
        <v>1</v>
      </c>
      <c r="I4" s="342">
        <v>1</v>
      </c>
      <c r="J4" s="342">
        <v>1</v>
      </c>
      <c r="K4" s="342" t="s">
        <v>697</v>
      </c>
      <c r="L4" s="342" t="s">
        <v>698</v>
      </c>
      <c r="M4" s="342" t="s">
        <v>702</v>
      </c>
      <c r="N4" s="342" t="s">
        <v>699</v>
      </c>
      <c r="O4" s="342" t="s">
        <v>699</v>
      </c>
      <c r="P4" s="342" t="s">
        <v>699</v>
      </c>
      <c r="Q4" s="342" t="s">
        <v>699</v>
      </c>
      <c r="R4" s="342"/>
      <c r="S4" s="342" t="s">
        <v>699</v>
      </c>
      <c r="T4" s="342" t="s">
        <v>699</v>
      </c>
      <c r="U4" s="342" t="s">
        <v>700</v>
      </c>
      <c r="V4" s="342" t="s">
        <v>699</v>
      </c>
      <c r="W4" s="342" t="s">
        <v>699</v>
      </c>
      <c r="X4" s="342"/>
    </row>
    <row r="5" spans="1:24" ht="14" x14ac:dyDescent="0.3">
      <c r="A5" s="342" t="s">
        <v>8</v>
      </c>
      <c r="B5" s="342" t="s">
        <v>703</v>
      </c>
      <c r="C5" s="342">
        <v>1</v>
      </c>
      <c r="D5" s="342">
        <v>1</v>
      </c>
      <c r="E5" s="342">
        <v>1</v>
      </c>
      <c r="F5" s="342">
        <v>1</v>
      </c>
      <c r="G5" s="342">
        <v>1</v>
      </c>
      <c r="H5" s="342">
        <v>1</v>
      </c>
      <c r="I5" s="342">
        <v>1</v>
      </c>
      <c r="J5" s="342">
        <v>1</v>
      </c>
      <c r="K5" s="342" t="s">
        <v>697</v>
      </c>
      <c r="L5" s="342" t="s">
        <v>698</v>
      </c>
      <c r="M5" s="342" t="s">
        <v>702</v>
      </c>
      <c r="N5" s="342" t="s">
        <v>699</v>
      </c>
      <c r="O5" s="342" t="s">
        <v>699</v>
      </c>
      <c r="P5" s="342" t="s">
        <v>699</v>
      </c>
      <c r="Q5" s="342" t="s">
        <v>699</v>
      </c>
      <c r="R5" s="342"/>
      <c r="S5" s="342" t="s">
        <v>699</v>
      </c>
      <c r="T5" s="342" t="s">
        <v>699</v>
      </c>
      <c r="U5" s="342" t="s">
        <v>700</v>
      </c>
      <c r="V5" s="342" t="s">
        <v>699</v>
      </c>
      <c r="W5" s="342" t="s">
        <v>699</v>
      </c>
      <c r="X5" s="342"/>
    </row>
    <row r="6" spans="1:24" ht="14" x14ac:dyDescent="0.3">
      <c r="A6" s="342" t="s">
        <v>10</v>
      </c>
      <c r="B6" s="342" t="s">
        <v>704</v>
      </c>
      <c r="C6" s="342">
        <v>1</v>
      </c>
      <c r="D6" s="342">
        <v>1</v>
      </c>
      <c r="E6" s="342">
        <v>0</v>
      </c>
      <c r="F6" s="342">
        <v>0</v>
      </c>
      <c r="G6" s="342">
        <v>0</v>
      </c>
      <c r="H6" s="342">
        <v>0</v>
      </c>
      <c r="I6" s="342">
        <v>0</v>
      </c>
      <c r="J6" s="342">
        <v>0</v>
      </c>
      <c r="K6" s="342" t="s">
        <v>697</v>
      </c>
      <c r="L6" s="342" t="s">
        <v>698</v>
      </c>
      <c r="M6" s="342" t="s">
        <v>702</v>
      </c>
      <c r="N6" s="342" t="s">
        <v>699</v>
      </c>
      <c r="O6" s="342" t="s">
        <v>699</v>
      </c>
      <c r="P6" s="342" t="s">
        <v>699</v>
      </c>
      <c r="Q6" s="342" t="s">
        <v>699</v>
      </c>
      <c r="R6" s="342"/>
      <c r="S6" s="342" t="s">
        <v>699</v>
      </c>
      <c r="T6" s="342" t="s">
        <v>699</v>
      </c>
      <c r="U6" s="342" t="s">
        <v>700</v>
      </c>
      <c r="V6" s="342" t="s">
        <v>699</v>
      </c>
      <c r="W6" s="342" t="s">
        <v>699</v>
      </c>
      <c r="X6" s="342"/>
    </row>
    <row r="7" spans="1:24" ht="14" x14ac:dyDescent="0.3">
      <c r="A7" s="342" t="s">
        <v>12</v>
      </c>
      <c r="B7" s="342" t="s">
        <v>705</v>
      </c>
      <c r="C7" s="342">
        <v>1</v>
      </c>
      <c r="D7" s="342">
        <v>1</v>
      </c>
      <c r="E7" s="342">
        <v>0</v>
      </c>
      <c r="F7" s="342">
        <v>0</v>
      </c>
      <c r="G7" s="342">
        <v>0</v>
      </c>
      <c r="H7" s="342">
        <v>0</v>
      </c>
      <c r="I7" s="342">
        <v>0</v>
      </c>
      <c r="J7" s="342">
        <v>0</v>
      </c>
      <c r="K7" s="342" t="s">
        <v>697</v>
      </c>
      <c r="L7" s="342" t="s">
        <v>698</v>
      </c>
      <c r="M7" s="342" t="s">
        <v>702</v>
      </c>
      <c r="N7" s="342" t="s">
        <v>699</v>
      </c>
      <c r="O7" s="342" t="s">
        <v>699</v>
      </c>
      <c r="P7" s="342" t="s">
        <v>699</v>
      </c>
      <c r="Q7" s="342" t="s">
        <v>699</v>
      </c>
      <c r="R7" s="342"/>
      <c r="S7" s="342" t="s">
        <v>699</v>
      </c>
      <c r="T7" s="342" t="s">
        <v>699</v>
      </c>
      <c r="U7" s="342" t="s">
        <v>700</v>
      </c>
      <c r="V7" s="342" t="s">
        <v>699</v>
      </c>
      <c r="W7" s="342" t="s">
        <v>699</v>
      </c>
      <c r="X7" s="342"/>
    </row>
    <row r="8" spans="1:24" ht="14" x14ac:dyDescent="0.3">
      <c r="A8" s="342" t="s">
        <v>13</v>
      </c>
      <c r="B8" s="342" t="s">
        <v>706</v>
      </c>
      <c r="C8" s="342">
        <v>1</v>
      </c>
      <c r="D8" s="342">
        <v>1</v>
      </c>
      <c r="E8" s="342">
        <v>0</v>
      </c>
      <c r="F8" s="342">
        <v>0</v>
      </c>
      <c r="G8" s="342">
        <v>0</v>
      </c>
      <c r="H8" s="342">
        <v>0</v>
      </c>
      <c r="I8" s="342">
        <v>0</v>
      </c>
      <c r="J8" s="342">
        <v>0</v>
      </c>
      <c r="K8" s="342" t="s">
        <v>697</v>
      </c>
      <c r="L8" s="342" t="s">
        <v>698</v>
      </c>
      <c r="M8" s="342" t="s">
        <v>702</v>
      </c>
      <c r="N8" s="342" t="s">
        <v>699</v>
      </c>
      <c r="O8" s="342" t="s">
        <v>699</v>
      </c>
      <c r="P8" s="342" t="s">
        <v>699</v>
      </c>
      <c r="Q8" s="342" t="s">
        <v>699</v>
      </c>
      <c r="R8" s="342"/>
      <c r="S8" s="342" t="s">
        <v>699</v>
      </c>
      <c r="T8" s="342" t="s">
        <v>699</v>
      </c>
      <c r="U8" s="342" t="s">
        <v>700</v>
      </c>
      <c r="V8" s="342" t="s">
        <v>699</v>
      </c>
      <c r="W8" s="342" t="s">
        <v>699</v>
      </c>
      <c r="X8" s="342"/>
    </row>
    <row r="9" spans="1:24" ht="14" x14ac:dyDescent="0.3">
      <c r="A9" s="342" t="s">
        <v>15</v>
      </c>
      <c r="B9" s="342" t="s">
        <v>707</v>
      </c>
      <c r="C9" s="342">
        <v>1</v>
      </c>
      <c r="D9" s="342">
        <v>1</v>
      </c>
      <c r="E9" s="342">
        <v>0</v>
      </c>
      <c r="F9" s="342">
        <v>0</v>
      </c>
      <c r="G9" s="342">
        <v>0</v>
      </c>
      <c r="H9" s="342">
        <v>0</v>
      </c>
      <c r="I9" s="342">
        <v>0</v>
      </c>
      <c r="J9" s="342">
        <v>0</v>
      </c>
      <c r="K9" s="342" t="s">
        <v>697</v>
      </c>
      <c r="L9" s="342" t="s">
        <v>698</v>
      </c>
      <c r="M9" s="342" t="s">
        <v>702</v>
      </c>
      <c r="N9" s="342" t="s">
        <v>699</v>
      </c>
      <c r="O9" s="342" t="s">
        <v>699</v>
      </c>
      <c r="P9" s="342" t="s">
        <v>699</v>
      </c>
      <c r="Q9" s="342" t="s">
        <v>699</v>
      </c>
      <c r="R9" s="342"/>
      <c r="S9" s="342" t="s">
        <v>699</v>
      </c>
      <c r="T9" s="342" t="s">
        <v>699</v>
      </c>
      <c r="U9" s="342" t="s">
        <v>700</v>
      </c>
      <c r="V9" s="342" t="s">
        <v>699</v>
      </c>
      <c r="W9" s="342" t="s">
        <v>699</v>
      </c>
      <c r="X9" s="342"/>
    </row>
    <row r="10" spans="1:24" ht="14" x14ac:dyDescent="0.3">
      <c r="A10" s="342" t="s">
        <v>17</v>
      </c>
      <c r="B10" s="342" t="s">
        <v>708</v>
      </c>
      <c r="C10" s="342">
        <v>1</v>
      </c>
      <c r="D10" s="342">
        <v>1</v>
      </c>
      <c r="E10" s="342">
        <v>1</v>
      </c>
      <c r="F10" s="342">
        <v>1</v>
      </c>
      <c r="G10" s="342">
        <v>1</v>
      </c>
      <c r="H10" s="342">
        <v>1</v>
      </c>
      <c r="I10" s="342">
        <v>1</v>
      </c>
      <c r="J10" s="342">
        <v>1</v>
      </c>
      <c r="K10" s="342" t="s">
        <v>697</v>
      </c>
      <c r="L10" s="342" t="s">
        <v>698</v>
      </c>
      <c r="M10" s="342" t="s">
        <v>699</v>
      </c>
      <c r="N10" s="342" t="s">
        <v>699</v>
      </c>
      <c r="O10" s="342" t="s">
        <v>699</v>
      </c>
      <c r="P10" s="342" t="s">
        <v>699</v>
      </c>
      <c r="Q10" s="342" t="s">
        <v>699</v>
      </c>
      <c r="R10" s="342"/>
      <c r="S10" s="342" t="s">
        <v>699</v>
      </c>
      <c r="T10" s="342" t="s">
        <v>699</v>
      </c>
      <c r="U10" s="342" t="s">
        <v>700</v>
      </c>
      <c r="V10" s="342" t="s">
        <v>699</v>
      </c>
      <c r="W10" s="342" t="s">
        <v>699</v>
      </c>
      <c r="X10" s="342"/>
    </row>
    <row r="11" spans="1:24" ht="42" x14ac:dyDescent="0.3">
      <c r="A11" s="342" t="s">
        <v>19</v>
      </c>
      <c r="B11" s="342" t="s">
        <v>709</v>
      </c>
      <c r="C11" s="342">
        <v>1</v>
      </c>
      <c r="D11" s="342">
        <v>0</v>
      </c>
      <c r="E11" s="342">
        <v>0</v>
      </c>
      <c r="F11" s="342">
        <v>0</v>
      </c>
      <c r="G11" s="342">
        <v>0</v>
      </c>
      <c r="H11" s="342">
        <v>0</v>
      </c>
      <c r="I11" s="342">
        <v>0</v>
      </c>
      <c r="J11" s="342">
        <v>1</v>
      </c>
      <c r="K11" s="342" t="s">
        <v>697</v>
      </c>
      <c r="L11" s="342" t="s">
        <v>698</v>
      </c>
      <c r="M11" s="342" t="s">
        <v>702</v>
      </c>
      <c r="N11" s="342" t="s">
        <v>699</v>
      </c>
      <c r="O11" s="342" t="s">
        <v>699</v>
      </c>
      <c r="P11" s="342" t="s">
        <v>699</v>
      </c>
      <c r="Q11" s="342" t="s">
        <v>699</v>
      </c>
      <c r="R11" s="342"/>
      <c r="S11" s="342" t="s">
        <v>710</v>
      </c>
      <c r="T11" s="342" t="s">
        <v>711</v>
      </c>
      <c r="U11" s="342" t="s">
        <v>700</v>
      </c>
      <c r="V11" s="342" t="s">
        <v>699</v>
      </c>
      <c r="W11" s="342" t="s">
        <v>699</v>
      </c>
      <c r="X11" s="342"/>
    </row>
    <row r="12" spans="1:24" ht="238" x14ac:dyDescent="0.3">
      <c r="A12" s="354" t="s">
        <v>25</v>
      </c>
      <c r="B12" s="354" t="s">
        <v>712</v>
      </c>
      <c r="C12" s="342">
        <v>1</v>
      </c>
      <c r="D12" s="342">
        <v>0</v>
      </c>
      <c r="E12" s="342">
        <v>0</v>
      </c>
      <c r="F12" s="342">
        <v>0</v>
      </c>
      <c r="G12" s="342">
        <v>0</v>
      </c>
      <c r="H12" s="342">
        <v>0</v>
      </c>
      <c r="I12" s="342">
        <v>0</v>
      </c>
      <c r="J12" s="342">
        <v>1</v>
      </c>
      <c r="K12" s="342"/>
      <c r="L12" s="342" t="s">
        <v>713</v>
      </c>
      <c r="M12" s="342" t="s">
        <v>702</v>
      </c>
      <c r="N12" s="342" t="s">
        <v>699</v>
      </c>
      <c r="O12" s="342" t="s">
        <v>699</v>
      </c>
      <c r="P12" s="342" t="s">
        <v>714</v>
      </c>
      <c r="Q12" s="342" t="s">
        <v>715</v>
      </c>
      <c r="R12" s="342"/>
      <c r="S12" s="342" t="s">
        <v>716</v>
      </c>
      <c r="T12" s="342" t="s">
        <v>717</v>
      </c>
      <c r="U12" s="342" t="s">
        <v>26</v>
      </c>
      <c r="V12" s="342" t="s">
        <v>702</v>
      </c>
      <c r="W12" s="342" t="s">
        <v>718</v>
      </c>
      <c r="X12" s="342">
        <f t="shared" ref="X12:X75" si="0">IF($W12="Critical Importance",20,IF($W12="Minor Importance",5,10))</f>
        <v>10</v>
      </c>
    </row>
    <row r="13" spans="1:24" ht="112" x14ac:dyDescent="0.3">
      <c r="A13" s="342" t="s">
        <v>28</v>
      </c>
      <c r="B13" s="342" t="s">
        <v>719</v>
      </c>
      <c r="C13" s="342">
        <v>1</v>
      </c>
      <c r="D13" s="342">
        <v>0</v>
      </c>
      <c r="E13" s="342">
        <v>0</v>
      </c>
      <c r="F13" s="342">
        <v>0</v>
      </c>
      <c r="G13" s="342">
        <v>0</v>
      </c>
      <c r="H13" s="342">
        <v>0</v>
      </c>
      <c r="I13" s="342">
        <v>0</v>
      </c>
      <c r="J13" s="342">
        <v>1</v>
      </c>
      <c r="K13" s="342"/>
      <c r="L13" s="342" t="s">
        <v>700</v>
      </c>
      <c r="M13" s="342" t="s">
        <v>702</v>
      </c>
      <c r="N13" s="342" t="s">
        <v>699</v>
      </c>
      <c r="O13" s="342" t="s">
        <v>720</v>
      </c>
      <c r="P13" s="342" t="s">
        <v>720</v>
      </c>
      <c r="Q13" s="342" t="s">
        <v>720</v>
      </c>
      <c r="R13" s="342"/>
      <c r="S13" s="342" t="s">
        <v>721</v>
      </c>
      <c r="T13" s="342" t="s">
        <v>722</v>
      </c>
      <c r="U13" s="342" t="s">
        <v>700</v>
      </c>
      <c r="V13" s="342" t="s">
        <v>702</v>
      </c>
      <c r="W13" s="342"/>
      <c r="X13" s="342"/>
    </row>
    <row r="14" spans="1:24" ht="168" x14ac:dyDescent="0.3">
      <c r="A14" s="342" t="s">
        <v>30</v>
      </c>
      <c r="B14" s="342" t="s">
        <v>723</v>
      </c>
      <c r="C14" s="342">
        <v>1</v>
      </c>
      <c r="D14" s="342">
        <v>0</v>
      </c>
      <c r="E14" s="342">
        <v>0</v>
      </c>
      <c r="F14" s="342">
        <v>0</v>
      </c>
      <c r="G14" s="342">
        <v>0</v>
      </c>
      <c r="H14" s="342">
        <v>0</v>
      </c>
      <c r="I14" s="342">
        <v>0</v>
      </c>
      <c r="J14" s="342">
        <v>1</v>
      </c>
      <c r="K14" s="342"/>
      <c r="L14" s="342" t="s">
        <v>713</v>
      </c>
      <c r="M14" s="342" t="s">
        <v>702</v>
      </c>
      <c r="N14" s="342" t="s">
        <v>699</v>
      </c>
      <c r="O14" s="342" t="s">
        <v>699</v>
      </c>
      <c r="P14" s="342" t="s">
        <v>724</v>
      </c>
      <c r="Q14" s="342" t="s">
        <v>699</v>
      </c>
      <c r="R14" s="342"/>
      <c r="S14" s="342" t="s">
        <v>725</v>
      </c>
      <c r="T14" s="342" t="s">
        <v>726</v>
      </c>
      <c r="U14" s="342" t="s">
        <v>26</v>
      </c>
      <c r="V14" s="342" t="s">
        <v>702</v>
      </c>
      <c r="W14" s="342" t="s">
        <v>727</v>
      </c>
      <c r="X14" s="342">
        <f t="shared" si="0"/>
        <v>5</v>
      </c>
    </row>
    <row r="15" spans="1:24" ht="224" x14ac:dyDescent="0.3">
      <c r="A15" s="342" t="s">
        <v>32</v>
      </c>
      <c r="B15" s="342" t="s">
        <v>728</v>
      </c>
      <c r="C15" s="342">
        <v>1</v>
      </c>
      <c r="D15" s="342">
        <v>0</v>
      </c>
      <c r="E15" s="342">
        <v>0</v>
      </c>
      <c r="F15" s="342">
        <v>0</v>
      </c>
      <c r="G15" s="342">
        <v>0</v>
      </c>
      <c r="H15" s="342">
        <v>0</v>
      </c>
      <c r="I15" s="342">
        <v>0</v>
      </c>
      <c r="J15" s="342">
        <v>1</v>
      </c>
      <c r="K15" s="342"/>
      <c r="L15" s="342" t="s">
        <v>713</v>
      </c>
      <c r="M15" s="342" t="s">
        <v>702</v>
      </c>
      <c r="N15" s="342" t="s">
        <v>699</v>
      </c>
      <c r="O15" s="342" t="s">
        <v>699</v>
      </c>
      <c r="P15" s="342" t="s">
        <v>729</v>
      </c>
      <c r="Q15" s="342" t="s">
        <v>730</v>
      </c>
      <c r="R15" s="342"/>
      <c r="S15" s="342" t="s">
        <v>731</v>
      </c>
      <c r="T15" s="342" t="s">
        <v>732</v>
      </c>
      <c r="U15" s="342" t="s">
        <v>26</v>
      </c>
      <c r="V15" s="342" t="s">
        <v>702</v>
      </c>
      <c r="W15" s="342" t="s">
        <v>727</v>
      </c>
      <c r="X15" s="342">
        <f t="shared" si="0"/>
        <v>5</v>
      </c>
    </row>
    <row r="16" spans="1:24" ht="196" x14ac:dyDescent="0.3">
      <c r="A16" s="342" t="s">
        <v>34</v>
      </c>
      <c r="B16" s="342" t="s">
        <v>733</v>
      </c>
      <c r="C16" s="342">
        <v>1</v>
      </c>
      <c r="D16" s="342">
        <v>0</v>
      </c>
      <c r="E16" s="342">
        <v>0</v>
      </c>
      <c r="F16" s="342">
        <v>0</v>
      </c>
      <c r="G16" s="342">
        <v>0</v>
      </c>
      <c r="H16" s="342">
        <v>0</v>
      </c>
      <c r="I16" s="342">
        <v>0</v>
      </c>
      <c r="J16" s="342">
        <v>0</v>
      </c>
      <c r="K16" s="342"/>
      <c r="L16" s="342" t="s">
        <v>698</v>
      </c>
      <c r="M16" s="342">
        <v>0</v>
      </c>
      <c r="N16" s="342"/>
      <c r="O16" s="342" t="s">
        <v>734</v>
      </c>
      <c r="P16" s="342" t="s">
        <v>734</v>
      </c>
      <c r="Q16" s="342" t="s">
        <v>734</v>
      </c>
      <c r="R16" s="342"/>
      <c r="S16" s="342" t="s">
        <v>735</v>
      </c>
      <c r="T16" s="342" t="s">
        <v>736</v>
      </c>
      <c r="U16" s="342" t="s">
        <v>700</v>
      </c>
      <c r="V16" s="342"/>
      <c r="W16" s="342"/>
      <c r="X16" s="342"/>
    </row>
    <row r="17" spans="1:24" ht="56" x14ac:dyDescent="0.3">
      <c r="A17" s="342" t="s">
        <v>37</v>
      </c>
      <c r="B17" s="343" t="s">
        <v>737</v>
      </c>
      <c r="C17" s="342">
        <v>1</v>
      </c>
      <c r="D17" s="342">
        <v>0</v>
      </c>
      <c r="E17" s="342">
        <v>1</v>
      </c>
      <c r="F17" s="342">
        <v>1</v>
      </c>
      <c r="G17" s="342">
        <v>0</v>
      </c>
      <c r="H17" s="342">
        <v>0</v>
      </c>
      <c r="I17" s="342">
        <v>0</v>
      </c>
      <c r="J17" s="342">
        <v>0</v>
      </c>
      <c r="K17" s="342" t="s">
        <v>697</v>
      </c>
      <c r="L17" s="342" t="s">
        <v>698</v>
      </c>
      <c r="M17" s="342" t="s">
        <v>699</v>
      </c>
      <c r="N17" s="342" t="s">
        <v>699</v>
      </c>
      <c r="O17" s="342" t="s">
        <v>738</v>
      </c>
      <c r="P17" s="342" t="s">
        <v>739</v>
      </c>
      <c r="Q17" s="342" t="s">
        <v>740</v>
      </c>
      <c r="R17" s="342"/>
      <c r="S17" s="342" t="s">
        <v>699</v>
      </c>
      <c r="T17" s="342" t="s">
        <v>699</v>
      </c>
      <c r="U17" s="342" t="s">
        <v>700</v>
      </c>
      <c r="V17" s="342" t="s">
        <v>699</v>
      </c>
      <c r="W17" s="342"/>
      <c r="X17" s="342"/>
    </row>
    <row r="18" spans="1:24" ht="70" x14ac:dyDescent="0.3">
      <c r="A18" s="342" t="s">
        <v>39</v>
      </c>
      <c r="B18" s="342" t="s">
        <v>741</v>
      </c>
      <c r="C18" s="342">
        <v>1</v>
      </c>
      <c r="D18" s="342">
        <v>0</v>
      </c>
      <c r="E18" s="342">
        <v>0</v>
      </c>
      <c r="F18" s="342">
        <v>0</v>
      </c>
      <c r="G18" s="342">
        <v>1</v>
      </c>
      <c r="H18" s="342">
        <v>0</v>
      </c>
      <c r="I18" s="342">
        <v>0</v>
      </c>
      <c r="J18" s="342">
        <v>0</v>
      </c>
      <c r="K18" s="342" t="s">
        <v>697</v>
      </c>
      <c r="L18" s="342" t="s">
        <v>698</v>
      </c>
      <c r="M18" s="342" t="s">
        <v>699</v>
      </c>
      <c r="N18" s="342" t="s">
        <v>699</v>
      </c>
      <c r="O18" s="342" t="s">
        <v>742</v>
      </c>
      <c r="P18" s="342" t="s">
        <v>743</v>
      </c>
      <c r="Q18" s="342" t="s">
        <v>744</v>
      </c>
      <c r="R18" s="342"/>
      <c r="S18" s="342" t="s">
        <v>699</v>
      </c>
      <c r="T18" s="342" t="s">
        <v>699</v>
      </c>
      <c r="U18" s="342" t="s">
        <v>700</v>
      </c>
      <c r="V18" s="342" t="s">
        <v>699</v>
      </c>
      <c r="W18" s="342"/>
      <c r="X18" s="342"/>
    </row>
    <row r="19" spans="1:24" ht="42" x14ac:dyDescent="0.3">
      <c r="A19" s="342" t="s">
        <v>41</v>
      </c>
      <c r="B19" s="342" t="s">
        <v>745</v>
      </c>
      <c r="C19" s="342">
        <v>1</v>
      </c>
      <c r="D19" s="342">
        <v>0</v>
      </c>
      <c r="E19" s="342">
        <v>0</v>
      </c>
      <c r="F19" s="342">
        <v>0</v>
      </c>
      <c r="G19" s="342">
        <v>0</v>
      </c>
      <c r="H19" s="342">
        <v>1</v>
      </c>
      <c r="I19" s="342">
        <v>0</v>
      </c>
      <c r="J19" s="342">
        <v>0</v>
      </c>
      <c r="K19" s="342" t="s">
        <v>697</v>
      </c>
      <c r="L19" s="342" t="s">
        <v>698</v>
      </c>
      <c r="M19" s="342" t="s">
        <v>699</v>
      </c>
      <c r="N19" s="342" t="s">
        <v>699</v>
      </c>
      <c r="O19" s="342" t="s">
        <v>699</v>
      </c>
      <c r="P19" s="342" t="s">
        <v>746</v>
      </c>
      <c r="Q19" s="342" t="s">
        <v>747</v>
      </c>
      <c r="R19" s="342"/>
      <c r="S19" s="342" t="s">
        <v>699</v>
      </c>
      <c r="T19" s="342" t="s">
        <v>699</v>
      </c>
      <c r="U19" s="342" t="s">
        <v>700</v>
      </c>
      <c r="V19" s="342" t="s">
        <v>699</v>
      </c>
      <c r="W19" s="342"/>
      <c r="X19" s="342"/>
    </row>
    <row r="20" spans="1:24" ht="42" x14ac:dyDescent="0.3">
      <c r="A20" s="342" t="s">
        <v>43</v>
      </c>
      <c r="B20" s="342" t="s">
        <v>748</v>
      </c>
      <c r="C20" s="342">
        <v>1</v>
      </c>
      <c r="D20" s="342">
        <v>0</v>
      </c>
      <c r="E20" s="342">
        <v>0</v>
      </c>
      <c r="F20" s="342">
        <v>0</v>
      </c>
      <c r="G20" s="342">
        <v>0</v>
      </c>
      <c r="H20" s="342">
        <v>0</v>
      </c>
      <c r="I20" s="342">
        <v>1</v>
      </c>
      <c r="J20" s="342">
        <v>1</v>
      </c>
      <c r="K20" s="342" t="s">
        <v>697</v>
      </c>
      <c r="L20" s="342" t="s">
        <v>698</v>
      </c>
      <c r="M20" s="342" t="s">
        <v>699</v>
      </c>
      <c r="N20" s="342" t="s">
        <v>699</v>
      </c>
      <c r="O20" s="342" t="s">
        <v>699</v>
      </c>
      <c r="P20" s="342" t="s">
        <v>749</v>
      </c>
      <c r="Q20" s="342" t="s">
        <v>750</v>
      </c>
      <c r="R20" s="342"/>
      <c r="S20" s="342" t="s">
        <v>699</v>
      </c>
      <c r="T20" s="342" t="s">
        <v>699</v>
      </c>
      <c r="U20" s="342" t="s">
        <v>700</v>
      </c>
      <c r="V20" s="342" t="s">
        <v>699</v>
      </c>
      <c r="W20" s="342"/>
      <c r="X20" s="342"/>
    </row>
    <row r="21" spans="1:24" ht="70" x14ac:dyDescent="0.3">
      <c r="A21" s="342" t="s">
        <v>45</v>
      </c>
      <c r="B21" s="342" t="s">
        <v>751</v>
      </c>
      <c r="C21" s="342">
        <v>1</v>
      </c>
      <c r="D21" s="342">
        <v>0</v>
      </c>
      <c r="E21" s="342">
        <v>0</v>
      </c>
      <c r="F21" s="342">
        <v>0</v>
      </c>
      <c r="G21" s="342">
        <v>0</v>
      </c>
      <c r="H21" s="342">
        <v>1</v>
      </c>
      <c r="I21" s="342">
        <v>0</v>
      </c>
      <c r="J21" s="342">
        <v>1</v>
      </c>
      <c r="K21" s="342" t="s">
        <v>697</v>
      </c>
      <c r="L21" s="342" t="s">
        <v>698</v>
      </c>
      <c r="M21" s="342" t="s">
        <v>702</v>
      </c>
      <c r="N21" s="342" t="s">
        <v>699</v>
      </c>
      <c r="O21" s="342" t="s">
        <v>752</v>
      </c>
      <c r="P21" s="342" t="s">
        <v>753</v>
      </c>
      <c r="Q21" s="342" t="s">
        <v>754</v>
      </c>
      <c r="R21" s="342"/>
      <c r="S21" s="342"/>
      <c r="T21" s="342"/>
      <c r="U21" s="342" t="s">
        <v>700</v>
      </c>
      <c r="V21" s="342"/>
      <c r="W21" s="342"/>
      <c r="X21" s="342"/>
    </row>
    <row r="22" spans="1:24" ht="56" x14ac:dyDescent="0.3">
      <c r="A22" s="342" t="s">
        <v>47</v>
      </c>
      <c r="B22" s="342" t="s">
        <v>755</v>
      </c>
      <c r="C22" s="342">
        <v>1</v>
      </c>
      <c r="D22" s="342">
        <v>0</v>
      </c>
      <c r="E22" s="342">
        <v>0</v>
      </c>
      <c r="F22" s="342">
        <v>0</v>
      </c>
      <c r="G22" s="342">
        <v>0</v>
      </c>
      <c r="H22" s="342">
        <v>1</v>
      </c>
      <c r="I22" s="342">
        <v>0</v>
      </c>
      <c r="J22" s="342">
        <v>1</v>
      </c>
      <c r="K22" s="342" t="s">
        <v>697</v>
      </c>
      <c r="L22" s="342" t="s">
        <v>698</v>
      </c>
      <c r="M22" s="342" t="s">
        <v>702</v>
      </c>
      <c r="N22" s="342" t="s">
        <v>699</v>
      </c>
      <c r="O22" s="342" t="s">
        <v>756</v>
      </c>
      <c r="P22" s="342" t="s">
        <v>757</v>
      </c>
      <c r="Q22" s="342" t="s">
        <v>758</v>
      </c>
      <c r="R22" s="342"/>
      <c r="S22" s="342"/>
      <c r="T22" s="342"/>
      <c r="U22" s="342" t="s">
        <v>700</v>
      </c>
      <c r="V22" s="342"/>
      <c r="W22" s="342"/>
      <c r="X22" s="342"/>
    </row>
    <row r="23" spans="1:24" ht="93.75" customHeight="1" x14ac:dyDescent="0.3">
      <c r="A23" s="342" t="s">
        <v>49</v>
      </c>
      <c r="B23" s="342" t="s">
        <v>759</v>
      </c>
      <c r="C23" s="342">
        <v>1</v>
      </c>
      <c r="D23" s="342">
        <v>0</v>
      </c>
      <c r="E23" s="342">
        <v>0</v>
      </c>
      <c r="F23" s="342">
        <v>0</v>
      </c>
      <c r="G23" s="342">
        <v>0</v>
      </c>
      <c r="H23" s="342">
        <v>1</v>
      </c>
      <c r="I23" s="342">
        <v>0</v>
      </c>
      <c r="J23" s="342">
        <v>0</v>
      </c>
      <c r="K23" s="342" t="s">
        <v>697</v>
      </c>
      <c r="L23" s="342" t="s">
        <v>698</v>
      </c>
      <c r="M23" s="342" t="s">
        <v>699</v>
      </c>
      <c r="N23" s="342" t="s">
        <v>699</v>
      </c>
      <c r="O23" s="342" t="s">
        <v>699</v>
      </c>
      <c r="P23" s="342" t="s">
        <v>760</v>
      </c>
      <c r="Q23" s="342" t="s">
        <v>761</v>
      </c>
      <c r="R23" s="342"/>
      <c r="S23" s="342" t="s">
        <v>699</v>
      </c>
      <c r="T23" s="342" t="s">
        <v>699</v>
      </c>
      <c r="U23" s="342" t="s">
        <v>700</v>
      </c>
      <c r="V23" s="342" t="s">
        <v>699</v>
      </c>
      <c r="W23" s="342"/>
      <c r="X23" s="342"/>
    </row>
    <row r="24" spans="1:24" ht="81.75" customHeight="1" x14ac:dyDescent="0.3">
      <c r="A24" s="342" t="s">
        <v>51</v>
      </c>
      <c r="B24" s="342" t="s">
        <v>762</v>
      </c>
      <c r="C24" s="342">
        <v>1</v>
      </c>
      <c r="D24" s="342">
        <v>0</v>
      </c>
      <c r="E24" s="342">
        <v>0</v>
      </c>
      <c r="F24" s="342">
        <v>0</v>
      </c>
      <c r="G24" s="342">
        <v>0</v>
      </c>
      <c r="H24" s="342">
        <v>0</v>
      </c>
      <c r="I24" s="342">
        <v>0</v>
      </c>
      <c r="J24" s="342">
        <v>1</v>
      </c>
      <c r="K24" s="342" t="s">
        <v>697</v>
      </c>
      <c r="L24" s="342" t="s">
        <v>698</v>
      </c>
      <c r="M24" s="342"/>
      <c r="N24" s="342"/>
      <c r="O24" s="342" t="s">
        <v>763</v>
      </c>
      <c r="P24" s="221" t="s">
        <v>764</v>
      </c>
      <c r="Q24" s="221" t="s">
        <v>765</v>
      </c>
      <c r="R24" s="221"/>
      <c r="S24" s="342"/>
      <c r="T24" s="342"/>
      <c r="U24" s="342" t="s">
        <v>700</v>
      </c>
      <c r="V24" s="342"/>
      <c r="W24" s="342"/>
      <c r="X24" s="342"/>
    </row>
    <row r="25" spans="1:24" ht="168" x14ac:dyDescent="0.3">
      <c r="A25" s="354" t="s">
        <v>56</v>
      </c>
      <c r="B25" s="354" t="s">
        <v>766</v>
      </c>
      <c r="C25" s="342">
        <v>0</v>
      </c>
      <c r="D25" s="342">
        <v>1</v>
      </c>
      <c r="E25" s="342">
        <v>0</v>
      </c>
      <c r="F25" s="342">
        <v>0</v>
      </c>
      <c r="G25" s="342">
        <v>0</v>
      </c>
      <c r="H25" s="342">
        <v>0</v>
      </c>
      <c r="I25" s="342">
        <v>0</v>
      </c>
      <c r="J25" s="342">
        <v>1</v>
      </c>
      <c r="K25" s="342"/>
      <c r="L25" s="342" t="s">
        <v>767</v>
      </c>
      <c r="M25" s="342" t="s">
        <v>699</v>
      </c>
      <c r="N25" s="342" t="s">
        <v>699</v>
      </c>
      <c r="O25" s="342" t="s">
        <v>699</v>
      </c>
      <c r="P25" s="342" t="s">
        <v>699</v>
      </c>
      <c r="Q25" s="342" t="s">
        <v>699</v>
      </c>
      <c r="R25" s="342"/>
      <c r="S25" s="342" t="s">
        <v>768</v>
      </c>
      <c r="T25" s="342" t="s">
        <v>699</v>
      </c>
      <c r="U25" s="342" t="s">
        <v>26</v>
      </c>
      <c r="V25" s="342" t="s">
        <v>699</v>
      </c>
      <c r="W25" s="342" t="s">
        <v>769</v>
      </c>
      <c r="X25" s="342">
        <f t="shared" si="0"/>
        <v>20</v>
      </c>
    </row>
    <row r="26" spans="1:24" ht="154" x14ac:dyDescent="0.3">
      <c r="A26" s="354" t="s">
        <v>58</v>
      </c>
      <c r="B26" s="354" t="s">
        <v>770</v>
      </c>
      <c r="C26" s="342">
        <v>0</v>
      </c>
      <c r="D26" s="342">
        <v>1</v>
      </c>
      <c r="E26" s="342">
        <v>0</v>
      </c>
      <c r="F26" s="342">
        <v>0</v>
      </c>
      <c r="G26" s="342">
        <v>0</v>
      </c>
      <c r="H26" s="342">
        <v>0</v>
      </c>
      <c r="I26" s="342">
        <v>0</v>
      </c>
      <c r="J26" s="342">
        <v>1</v>
      </c>
      <c r="K26" s="342"/>
      <c r="L26" s="342" t="s">
        <v>767</v>
      </c>
      <c r="M26" s="342" t="s">
        <v>699</v>
      </c>
      <c r="N26" s="342" t="s">
        <v>699</v>
      </c>
      <c r="O26" s="342" t="s">
        <v>699</v>
      </c>
      <c r="P26" s="342" t="s">
        <v>699</v>
      </c>
      <c r="Q26" s="342" t="s">
        <v>699</v>
      </c>
      <c r="R26" s="342"/>
      <c r="S26" s="342" t="s">
        <v>771</v>
      </c>
      <c r="T26" s="342" t="s">
        <v>699</v>
      </c>
      <c r="U26" s="342" t="s">
        <v>26</v>
      </c>
      <c r="V26" s="342" t="s">
        <v>699</v>
      </c>
      <c r="W26" s="342" t="s">
        <v>769</v>
      </c>
      <c r="X26" s="342">
        <f t="shared" si="0"/>
        <v>20</v>
      </c>
    </row>
    <row r="27" spans="1:24" ht="126" x14ac:dyDescent="0.3">
      <c r="A27" s="342" t="s">
        <v>60</v>
      </c>
      <c r="B27" s="342" t="s">
        <v>772</v>
      </c>
      <c r="C27" s="342">
        <v>0</v>
      </c>
      <c r="D27" s="342">
        <v>1</v>
      </c>
      <c r="E27" s="342">
        <v>0</v>
      </c>
      <c r="F27" s="342">
        <v>0</v>
      </c>
      <c r="G27" s="342">
        <v>0</v>
      </c>
      <c r="H27" s="342">
        <v>0</v>
      </c>
      <c r="I27" s="342">
        <v>0</v>
      </c>
      <c r="J27" s="342">
        <v>1</v>
      </c>
      <c r="K27" s="342"/>
      <c r="L27" s="342" t="s">
        <v>767</v>
      </c>
      <c r="M27" s="342" t="s">
        <v>22</v>
      </c>
      <c r="N27" s="342" t="s">
        <v>699</v>
      </c>
      <c r="O27" s="342" t="s">
        <v>699</v>
      </c>
      <c r="P27" s="342" t="s">
        <v>773</v>
      </c>
      <c r="Q27" s="342" t="s">
        <v>774</v>
      </c>
      <c r="R27" s="342"/>
      <c r="S27" s="342" t="s">
        <v>775</v>
      </c>
      <c r="T27" s="342" t="s">
        <v>776</v>
      </c>
      <c r="U27" s="342" t="s">
        <v>26</v>
      </c>
      <c r="V27" s="342" t="s">
        <v>702</v>
      </c>
      <c r="W27" s="342" t="s">
        <v>718</v>
      </c>
      <c r="X27" s="342">
        <f t="shared" si="0"/>
        <v>10</v>
      </c>
    </row>
    <row r="28" spans="1:24" ht="224" x14ac:dyDescent="0.3">
      <c r="A28" s="342" t="s">
        <v>62</v>
      </c>
      <c r="B28" s="342" t="s">
        <v>777</v>
      </c>
      <c r="C28" s="342">
        <v>0</v>
      </c>
      <c r="D28" s="342">
        <v>1</v>
      </c>
      <c r="E28" s="342">
        <v>0</v>
      </c>
      <c r="F28" s="342">
        <v>0</v>
      </c>
      <c r="G28" s="342">
        <v>0</v>
      </c>
      <c r="H28" s="342">
        <v>0</v>
      </c>
      <c r="I28" s="342">
        <v>0</v>
      </c>
      <c r="J28" s="342">
        <v>1</v>
      </c>
      <c r="K28" s="342"/>
      <c r="L28" s="342" t="s">
        <v>767</v>
      </c>
      <c r="M28" s="342" t="s">
        <v>22</v>
      </c>
      <c r="N28" s="342" t="s">
        <v>699</v>
      </c>
      <c r="O28" s="342" t="s">
        <v>699</v>
      </c>
      <c r="P28" s="342" t="s">
        <v>778</v>
      </c>
      <c r="Q28" s="342" t="s">
        <v>779</v>
      </c>
      <c r="R28" s="342"/>
      <c r="S28" s="342" t="s">
        <v>780</v>
      </c>
      <c r="T28" s="342" t="s">
        <v>781</v>
      </c>
      <c r="U28" s="342" t="s">
        <v>26</v>
      </c>
      <c r="V28" s="342" t="s">
        <v>702</v>
      </c>
      <c r="W28" s="342" t="s">
        <v>718</v>
      </c>
      <c r="X28" s="342">
        <f t="shared" si="0"/>
        <v>10</v>
      </c>
    </row>
    <row r="29" spans="1:24" ht="182" x14ac:dyDescent="0.3">
      <c r="A29" s="342" t="s">
        <v>64</v>
      </c>
      <c r="B29" s="342" t="s">
        <v>782</v>
      </c>
      <c r="C29" s="342">
        <v>0</v>
      </c>
      <c r="D29" s="342">
        <v>1</v>
      </c>
      <c r="E29" s="342">
        <v>0</v>
      </c>
      <c r="F29" s="342">
        <v>0</v>
      </c>
      <c r="G29" s="342">
        <v>0</v>
      </c>
      <c r="H29" s="342">
        <v>0</v>
      </c>
      <c r="I29" s="342">
        <v>0</v>
      </c>
      <c r="J29" s="342">
        <v>1</v>
      </c>
      <c r="K29" s="342"/>
      <c r="L29" s="342" t="s">
        <v>767</v>
      </c>
      <c r="M29" s="342" t="s">
        <v>22</v>
      </c>
      <c r="N29" s="342" t="s">
        <v>699</v>
      </c>
      <c r="O29" s="342" t="s">
        <v>699</v>
      </c>
      <c r="P29" s="342" t="s">
        <v>783</v>
      </c>
      <c r="Q29" s="342" t="s">
        <v>784</v>
      </c>
      <c r="R29" s="342"/>
      <c r="S29" s="342" t="s">
        <v>785</v>
      </c>
      <c r="T29" s="342" t="s">
        <v>786</v>
      </c>
      <c r="U29" s="342" t="s">
        <v>26</v>
      </c>
      <c r="V29" s="342" t="s">
        <v>702</v>
      </c>
      <c r="W29" s="342" t="s">
        <v>718</v>
      </c>
      <c r="X29" s="342">
        <f t="shared" si="0"/>
        <v>10</v>
      </c>
    </row>
    <row r="30" spans="1:24" ht="182" x14ac:dyDescent="0.3">
      <c r="A30" s="342" t="s">
        <v>65</v>
      </c>
      <c r="B30" s="342" t="s">
        <v>787</v>
      </c>
      <c r="C30" s="342">
        <v>0</v>
      </c>
      <c r="D30" s="342">
        <v>1</v>
      </c>
      <c r="E30" s="342">
        <v>0</v>
      </c>
      <c r="F30" s="342">
        <v>0</v>
      </c>
      <c r="G30" s="342">
        <v>0</v>
      </c>
      <c r="H30" s="342">
        <v>0</v>
      </c>
      <c r="I30" s="342">
        <v>0</v>
      </c>
      <c r="J30" s="342">
        <v>1</v>
      </c>
      <c r="K30" s="342"/>
      <c r="L30" s="342" t="s">
        <v>767</v>
      </c>
      <c r="M30" s="342" t="s">
        <v>22</v>
      </c>
      <c r="N30" s="342" t="s">
        <v>699</v>
      </c>
      <c r="O30" s="342" t="s">
        <v>699</v>
      </c>
      <c r="P30" s="342" t="s">
        <v>788</v>
      </c>
      <c r="Q30" s="342" t="s">
        <v>789</v>
      </c>
      <c r="R30" s="342"/>
      <c r="S30" s="342" t="s">
        <v>790</v>
      </c>
      <c r="T30" s="342" t="s">
        <v>786</v>
      </c>
      <c r="U30" s="342" t="s">
        <v>26</v>
      </c>
      <c r="V30" s="342" t="s">
        <v>702</v>
      </c>
      <c r="W30" s="342" t="s">
        <v>718</v>
      </c>
      <c r="X30" s="342">
        <f t="shared" si="0"/>
        <v>10</v>
      </c>
    </row>
    <row r="31" spans="1:24" ht="224" x14ac:dyDescent="0.3">
      <c r="A31" s="342" t="s">
        <v>67</v>
      </c>
      <c r="B31" s="342" t="s">
        <v>791</v>
      </c>
      <c r="C31" s="342">
        <v>0</v>
      </c>
      <c r="D31" s="342">
        <v>1</v>
      </c>
      <c r="E31" s="342">
        <v>0</v>
      </c>
      <c r="F31" s="342">
        <v>0</v>
      </c>
      <c r="G31" s="342">
        <v>0</v>
      </c>
      <c r="H31" s="342">
        <v>0</v>
      </c>
      <c r="I31" s="342">
        <v>0</v>
      </c>
      <c r="J31" s="342">
        <v>1</v>
      </c>
      <c r="K31" s="342"/>
      <c r="L31" s="342" t="s">
        <v>767</v>
      </c>
      <c r="M31" s="342" t="s">
        <v>22</v>
      </c>
      <c r="N31" s="342" t="s">
        <v>699</v>
      </c>
      <c r="O31" s="342" t="s">
        <v>699</v>
      </c>
      <c r="P31" s="342" t="s">
        <v>792</v>
      </c>
      <c r="Q31" s="342" t="s">
        <v>793</v>
      </c>
      <c r="R31" s="342"/>
      <c r="S31" s="342" t="s">
        <v>794</v>
      </c>
      <c r="T31" s="342" t="s">
        <v>795</v>
      </c>
      <c r="U31" s="342" t="s">
        <v>26</v>
      </c>
      <c r="V31" s="342" t="s">
        <v>702</v>
      </c>
      <c r="W31" s="342" t="s">
        <v>718</v>
      </c>
      <c r="X31" s="342">
        <f t="shared" si="0"/>
        <v>10</v>
      </c>
    </row>
    <row r="32" spans="1:24" ht="56" x14ac:dyDescent="0.3">
      <c r="A32" s="221" t="s">
        <v>311</v>
      </c>
      <c r="B32" s="342" t="s">
        <v>796</v>
      </c>
      <c r="C32" s="342">
        <v>0</v>
      </c>
      <c r="D32" s="342">
        <v>0</v>
      </c>
      <c r="E32" s="342">
        <v>0</v>
      </c>
      <c r="F32" s="342">
        <v>0</v>
      </c>
      <c r="G32" s="342">
        <v>1</v>
      </c>
      <c r="H32" s="342">
        <v>0</v>
      </c>
      <c r="I32" s="342">
        <v>0</v>
      </c>
      <c r="J32" s="342">
        <v>0</v>
      </c>
      <c r="K32" s="342" t="s">
        <v>697</v>
      </c>
      <c r="L32" s="342" t="s">
        <v>698</v>
      </c>
      <c r="M32" s="342" t="s">
        <v>702</v>
      </c>
      <c r="N32" s="342" t="s">
        <v>797</v>
      </c>
      <c r="O32" s="342" t="s">
        <v>699</v>
      </c>
      <c r="P32" s="342" t="s">
        <v>699</v>
      </c>
      <c r="Q32" s="342" t="s">
        <v>699</v>
      </c>
      <c r="R32" s="342"/>
      <c r="S32" s="342" t="s">
        <v>699</v>
      </c>
      <c r="T32" s="342" t="s">
        <v>699</v>
      </c>
      <c r="U32" s="342" t="s">
        <v>700</v>
      </c>
      <c r="V32" s="342" t="s">
        <v>699</v>
      </c>
      <c r="W32" s="342"/>
      <c r="X32" s="342"/>
    </row>
    <row r="33" spans="1:24" ht="56" x14ac:dyDescent="0.3">
      <c r="A33" s="221" t="s">
        <v>313</v>
      </c>
      <c r="B33" s="342" t="s">
        <v>798</v>
      </c>
      <c r="C33" s="342">
        <v>0</v>
      </c>
      <c r="D33" s="342">
        <v>0</v>
      </c>
      <c r="E33" s="342">
        <v>0</v>
      </c>
      <c r="F33" s="342">
        <v>0</v>
      </c>
      <c r="G33" s="342">
        <v>1</v>
      </c>
      <c r="H33" s="342">
        <v>0</v>
      </c>
      <c r="I33" s="342">
        <v>0</v>
      </c>
      <c r="J33" s="342">
        <v>0</v>
      </c>
      <c r="K33" s="342" t="s">
        <v>697</v>
      </c>
      <c r="L33" s="342" t="s">
        <v>698</v>
      </c>
      <c r="M33" s="342" t="s">
        <v>702</v>
      </c>
      <c r="N33" s="342" t="s">
        <v>797</v>
      </c>
      <c r="O33" s="342" t="s">
        <v>699</v>
      </c>
      <c r="P33" s="342" t="s">
        <v>699</v>
      </c>
      <c r="Q33" s="342" t="s">
        <v>699</v>
      </c>
      <c r="R33" s="342"/>
      <c r="S33" s="342" t="s">
        <v>699</v>
      </c>
      <c r="T33" s="342" t="s">
        <v>699</v>
      </c>
      <c r="U33" s="342" t="s">
        <v>700</v>
      </c>
      <c r="V33" s="342" t="s">
        <v>699</v>
      </c>
      <c r="W33" s="342"/>
      <c r="X33" s="342"/>
    </row>
    <row r="34" spans="1:24" ht="56" x14ac:dyDescent="0.3">
      <c r="A34" s="221" t="s">
        <v>314</v>
      </c>
      <c r="B34" s="342" t="s">
        <v>799</v>
      </c>
      <c r="C34" s="342">
        <v>0</v>
      </c>
      <c r="D34" s="342">
        <v>0</v>
      </c>
      <c r="E34" s="342">
        <v>0</v>
      </c>
      <c r="F34" s="342">
        <v>0</v>
      </c>
      <c r="G34" s="342">
        <v>1</v>
      </c>
      <c r="H34" s="342">
        <v>0</v>
      </c>
      <c r="I34" s="342">
        <v>0</v>
      </c>
      <c r="J34" s="342">
        <v>0</v>
      </c>
      <c r="K34" s="342" t="s">
        <v>697</v>
      </c>
      <c r="L34" s="342" t="s">
        <v>698</v>
      </c>
      <c r="M34" s="342" t="s">
        <v>702</v>
      </c>
      <c r="N34" s="342" t="s">
        <v>797</v>
      </c>
      <c r="O34" s="342" t="s">
        <v>699</v>
      </c>
      <c r="P34" s="342" t="s">
        <v>699</v>
      </c>
      <c r="Q34" s="342" t="s">
        <v>699</v>
      </c>
      <c r="R34" s="342"/>
      <c r="S34" s="342" t="s">
        <v>699</v>
      </c>
      <c r="T34" s="342" t="s">
        <v>699</v>
      </c>
      <c r="U34" s="342" t="s">
        <v>700</v>
      </c>
      <c r="V34" s="342" t="s">
        <v>699</v>
      </c>
      <c r="W34" s="342"/>
      <c r="X34" s="342"/>
    </row>
    <row r="35" spans="1:24" ht="56" x14ac:dyDescent="0.3">
      <c r="A35" s="221" t="s">
        <v>316</v>
      </c>
      <c r="B35" s="342" t="s">
        <v>800</v>
      </c>
      <c r="C35" s="342">
        <v>0</v>
      </c>
      <c r="D35" s="342">
        <v>0</v>
      </c>
      <c r="E35" s="342">
        <v>0</v>
      </c>
      <c r="F35" s="342">
        <v>0</v>
      </c>
      <c r="G35" s="342">
        <v>1</v>
      </c>
      <c r="H35" s="342">
        <v>0</v>
      </c>
      <c r="I35" s="342">
        <v>0</v>
      </c>
      <c r="J35" s="342">
        <v>0</v>
      </c>
      <c r="K35" s="342" t="s">
        <v>697</v>
      </c>
      <c r="L35" s="342" t="s">
        <v>698</v>
      </c>
      <c r="M35" s="342" t="s">
        <v>702</v>
      </c>
      <c r="N35" s="342" t="s">
        <v>797</v>
      </c>
      <c r="O35" s="342" t="s">
        <v>699</v>
      </c>
      <c r="P35" s="342" t="s">
        <v>699</v>
      </c>
      <c r="Q35" s="342" t="s">
        <v>699</v>
      </c>
      <c r="R35" s="342"/>
      <c r="S35" s="342" t="s">
        <v>699</v>
      </c>
      <c r="T35" s="342" t="s">
        <v>699</v>
      </c>
      <c r="U35" s="342" t="s">
        <v>700</v>
      </c>
      <c r="V35" s="342" t="s">
        <v>699</v>
      </c>
      <c r="W35" s="342"/>
      <c r="X35" s="342"/>
    </row>
    <row r="36" spans="1:24" ht="56" x14ac:dyDescent="0.3">
      <c r="A36" s="221" t="s">
        <v>317</v>
      </c>
      <c r="B36" s="342" t="s">
        <v>801</v>
      </c>
      <c r="C36" s="342">
        <v>0</v>
      </c>
      <c r="D36" s="342">
        <v>0</v>
      </c>
      <c r="E36" s="342">
        <v>0</v>
      </c>
      <c r="F36" s="342">
        <v>0</v>
      </c>
      <c r="G36" s="342">
        <v>1</v>
      </c>
      <c r="H36" s="342">
        <v>0</v>
      </c>
      <c r="I36" s="342">
        <v>0</v>
      </c>
      <c r="J36" s="342">
        <v>0</v>
      </c>
      <c r="K36" s="342"/>
      <c r="L36" s="342" t="s">
        <v>698</v>
      </c>
      <c r="M36" s="342" t="s">
        <v>702</v>
      </c>
      <c r="N36" s="342" t="s">
        <v>797</v>
      </c>
      <c r="O36" s="342" t="s">
        <v>802</v>
      </c>
      <c r="P36" s="342" t="s">
        <v>802</v>
      </c>
      <c r="Q36" s="342" t="s">
        <v>802</v>
      </c>
      <c r="R36" s="342"/>
      <c r="S36" s="342" t="s">
        <v>699</v>
      </c>
      <c r="T36" s="342" t="s">
        <v>699</v>
      </c>
      <c r="U36" s="342" t="s">
        <v>700</v>
      </c>
      <c r="V36" s="342" t="s">
        <v>699</v>
      </c>
      <c r="W36" s="342"/>
      <c r="X36" s="342"/>
    </row>
    <row r="37" spans="1:24" ht="280" x14ac:dyDescent="0.3">
      <c r="A37" s="355" t="s">
        <v>319</v>
      </c>
      <c r="B37" s="354" t="s">
        <v>803</v>
      </c>
      <c r="C37" s="342">
        <v>0</v>
      </c>
      <c r="D37" s="342">
        <v>0</v>
      </c>
      <c r="E37" s="342">
        <v>0</v>
      </c>
      <c r="F37" s="342">
        <v>0</v>
      </c>
      <c r="G37" s="342">
        <v>1</v>
      </c>
      <c r="H37" s="342">
        <v>0</v>
      </c>
      <c r="I37" s="342">
        <v>0</v>
      </c>
      <c r="J37" s="342">
        <v>1</v>
      </c>
      <c r="K37" s="342"/>
      <c r="L37" s="342" t="s">
        <v>804</v>
      </c>
      <c r="M37" s="342" t="s">
        <v>22</v>
      </c>
      <c r="N37" s="342" t="s">
        <v>797</v>
      </c>
      <c r="O37" s="342" t="s">
        <v>805</v>
      </c>
      <c r="P37" s="342" t="s">
        <v>806</v>
      </c>
      <c r="Q37" s="342" t="s">
        <v>807</v>
      </c>
      <c r="R37" s="342"/>
      <c r="S37" s="342" t="s">
        <v>808</v>
      </c>
      <c r="T37" s="342" t="s">
        <v>809</v>
      </c>
      <c r="U37" s="342" t="s">
        <v>26</v>
      </c>
      <c r="V37" s="342" t="s">
        <v>702</v>
      </c>
      <c r="W37" s="342" t="s">
        <v>769</v>
      </c>
      <c r="X37" s="342">
        <f t="shared" si="0"/>
        <v>20</v>
      </c>
    </row>
    <row r="38" spans="1:24" ht="80.25" customHeight="1" x14ac:dyDescent="0.3">
      <c r="A38" s="355" t="s">
        <v>321</v>
      </c>
      <c r="B38" s="354" t="s">
        <v>810</v>
      </c>
      <c r="C38" s="342">
        <v>0</v>
      </c>
      <c r="D38" s="342">
        <v>0</v>
      </c>
      <c r="E38" s="342">
        <v>0</v>
      </c>
      <c r="F38" s="342">
        <v>0</v>
      </c>
      <c r="G38" s="342">
        <v>1</v>
      </c>
      <c r="H38" s="342">
        <v>0</v>
      </c>
      <c r="I38" s="342">
        <v>0</v>
      </c>
      <c r="J38" s="342">
        <v>0</v>
      </c>
      <c r="K38" s="342"/>
      <c r="L38" s="342" t="s">
        <v>804</v>
      </c>
      <c r="M38" s="342" t="s">
        <v>699</v>
      </c>
      <c r="N38" s="342" t="s">
        <v>797</v>
      </c>
      <c r="O38" s="342" t="s">
        <v>699</v>
      </c>
      <c r="P38" s="342" t="s">
        <v>699</v>
      </c>
      <c r="Q38" s="342" t="s">
        <v>699</v>
      </c>
      <c r="R38" s="342"/>
      <c r="S38" s="342" t="s">
        <v>811</v>
      </c>
      <c r="T38" s="342" t="s">
        <v>699</v>
      </c>
      <c r="U38" s="342" t="s">
        <v>26</v>
      </c>
      <c r="V38" s="342" t="s">
        <v>699</v>
      </c>
      <c r="W38" s="342" t="s">
        <v>769</v>
      </c>
      <c r="X38" s="342">
        <f t="shared" si="0"/>
        <v>20</v>
      </c>
    </row>
    <row r="39" spans="1:24" ht="210" x14ac:dyDescent="0.3">
      <c r="A39" s="355" t="s">
        <v>322</v>
      </c>
      <c r="B39" s="354" t="s">
        <v>812</v>
      </c>
      <c r="C39" s="342">
        <v>0</v>
      </c>
      <c r="D39" s="342">
        <v>0</v>
      </c>
      <c r="E39" s="342">
        <v>0</v>
      </c>
      <c r="F39" s="342">
        <v>0</v>
      </c>
      <c r="G39" s="342">
        <v>1</v>
      </c>
      <c r="H39" s="342">
        <v>0</v>
      </c>
      <c r="I39" s="342">
        <v>0</v>
      </c>
      <c r="J39" s="342">
        <v>0</v>
      </c>
      <c r="K39" s="342"/>
      <c r="L39" s="342" t="s">
        <v>804</v>
      </c>
      <c r="M39" s="342" t="s">
        <v>699</v>
      </c>
      <c r="N39" s="342" t="s">
        <v>797</v>
      </c>
      <c r="O39" s="342" t="s">
        <v>813</v>
      </c>
      <c r="P39" s="342" t="s">
        <v>813</v>
      </c>
      <c r="Q39" s="342" t="s">
        <v>813</v>
      </c>
      <c r="R39" s="342"/>
      <c r="S39" s="342" t="s">
        <v>811</v>
      </c>
      <c r="T39" s="342" t="s">
        <v>699</v>
      </c>
      <c r="U39" s="342" t="s">
        <v>26</v>
      </c>
      <c r="V39" s="342" t="s">
        <v>699</v>
      </c>
      <c r="W39" s="342" t="s">
        <v>769</v>
      </c>
      <c r="X39" s="342">
        <f t="shared" si="0"/>
        <v>20</v>
      </c>
    </row>
    <row r="40" spans="1:24" ht="112" x14ac:dyDescent="0.3">
      <c r="A40" s="355" t="s">
        <v>323</v>
      </c>
      <c r="B40" s="354" t="s">
        <v>814</v>
      </c>
      <c r="C40" s="342">
        <v>0</v>
      </c>
      <c r="D40" s="342">
        <v>0</v>
      </c>
      <c r="E40" s="342">
        <v>0</v>
      </c>
      <c r="F40" s="342">
        <v>0</v>
      </c>
      <c r="G40" s="342">
        <v>1</v>
      </c>
      <c r="H40" s="342">
        <v>0</v>
      </c>
      <c r="I40" s="342">
        <v>0</v>
      </c>
      <c r="J40" s="342">
        <v>0</v>
      </c>
      <c r="K40" s="342"/>
      <c r="L40" s="342" t="s">
        <v>804</v>
      </c>
      <c r="M40" s="342" t="s">
        <v>702</v>
      </c>
      <c r="N40" s="342" t="s">
        <v>797</v>
      </c>
      <c r="O40" s="342" t="s">
        <v>815</v>
      </c>
      <c r="P40" s="342" t="s">
        <v>816</v>
      </c>
      <c r="Q40" s="342" t="s">
        <v>817</v>
      </c>
      <c r="R40" s="342"/>
      <c r="S40" s="342" t="s">
        <v>699</v>
      </c>
      <c r="T40" s="342" t="s">
        <v>818</v>
      </c>
      <c r="U40" s="342" t="s">
        <v>26</v>
      </c>
      <c r="V40" s="342" t="s">
        <v>702</v>
      </c>
      <c r="W40" s="342" t="s">
        <v>769</v>
      </c>
      <c r="X40" s="342">
        <f t="shared" si="0"/>
        <v>20</v>
      </c>
    </row>
    <row r="41" spans="1:24" ht="224" x14ac:dyDescent="0.3">
      <c r="A41" s="221" t="s">
        <v>325</v>
      </c>
      <c r="B41" s="342" t="s">
        <v>819</v>
      </c>
      <c r="C41" s="342">
        <v>0</v>
      </c>
      <c r="D41" s="342">
        <v>0</v>
      </c>
      <c r="E41" s="342">
        <v>0</v>
      </c>
      <c r="F41" s="342">
        <v>0</v>
      </c>
      <c r="G41" s="342">
        <v>1</v>
      </c>
      <c r="H41" s="342">
        <v>0</v>
      </c>
      <c r="I41" s="342">
        <v>0</v>
      </c>
      <c r="J41" s="342">
        <v>1</v>
      </c>
      <c r="K41" s="342"/>
      <c r="L41" s="342" t="s">
        <v>804</v>
      </c>
      <c r="M41" s="342" t="s">
        <v>22</v>
      </c>
      <c r="N41" s="342" t="s">
        <v>797</v>
      </c>
      <c r="O41" s="342" t="s">
        <v>820</v>
      </c>
      <c r="P41" s="342" t="s">
        <v>821</v>
      </c>
      <c r="Q41" s="342" t="s">
        <v>822</v>
      </c>
      <c r="R41" s="342"/>
      <c r="S41" s="342" t="s">
        <v>823</v>
      </c>
      <c r="T41" s="342" t="s">
        <v>824</v>
      </c>
      <c r="U41" s="342" t="s">
        <v>26</v>
      </c>
      <c r="V41" s="342" t="s">
        <v>702</v>
      </c>
      <c r="W41" s="342" t="s">
        <v>718</v>
      </c>
      <c r="X41" s="342">
        <f t="shared" si="0"/>
        <v>10</v>
      </c>
    </row>
    <row r="42" spans="1:24" ht="168" x14ac:dyDescent="0.3">
      <c r="A42" s="221" t="s">
        <v>327</v>
      </c>
      <c r="B42" s="342" t="s">
        <v>825</v>
      </c>
      <c r="C42" s="342">
        <v>0</v>
      </c>
      <c r="D42" s="342">
        <v>0</v>
      </c>
      <c r="E42" s="342">
        <v>0</v>
      </c>
      <c r="F42" s="342">
        <v>0</v>
      </c>
      <c r="G42" s="342">
        <v>1</v>
      </c>
      <c r="H42" s="342">
        <v>0</v>
      </c>
      <c r="I42" s="342">
        <v>0</v>
      </c>
      <c r="J42" s="342">
        <v>0</v>
      </c>
      <c r="K42" s="342"/>
      <c r="L42" s="342" t="s">
        <v>804</v>
      </c>
      <c r="M42" s="342" t="s">
        <v>702</v>
      </c>
      <c r="N42" s="342" t="s">
        <v>797</v>
      </c>
      <c r="O42" s="342" t="s">
        <v>826</v>
      </c>
      <c r="P42" s="342" t="s">
        <v>827</v>
      </c>
      <c r="Q42" s="342" t="s">
        <v>828</v>
      </c>
      <c r="R42" s="342"/>
      <c r="S42" s="342" t="s">
        <v>829</v>
      </c>
      <c r="T42" s="342" t="s">
        <v>699</v>
      </c>
      <c r="U42" s="342" t="s">
        <v>26</v>
      </c>
      <c r="V42" s="342" t="s">
        <v>702</v>
      </c>
      <c r="W42" s="342" t="s">
        <v>718</v>
      </c>
      <c r="X42" s="342">
        <f t="shared" si="0"/>
        <v>10</v>
      </c>
    </row>
    <row r="43" spans="1:24" ht="308" x14ac:dyDescent="0.3">
      <c r="A43" s="221" t="s">
        <v>328</v>
      </c>
      <c r="B43" s="342" t="s">
        <v>830</v>
      </c>
      <c r="C43" s="342">
        <v>0</v>
      </c>
      <c r="D43" s="342">
        <v>0</v>
      </c>
      <c r="E43" s="342">
        <v>0</v>
      </c>
      <c r="F43" s="342">
        <v>0</v>
      </c>
      <c r="G43" s="342">
        <v>1</v>
      </c>
      <c r="H43" s="342">
        <v>0</v>
      </c>
      <c r="I43" s="342">
        <v>0</v>
      </c>
      <c r="J43" s="342">
        <v>0</v>
      </c>
      <c r="K43" s="342"/>
      <c r="L43" s="342" t="s">
        <v>804</v>
      </c>
      <c r="M43" s="342" t="s">
        <v>702</v>
      </c>
      <c r="N43" s="342" t="s">
        <v>797</v>
      </c>
      <c r="O43" s="342" t="s">
        <v>699</v>
      </c>
      <c r="P43" s="342" t="s">
        <v>831</v>
      </c>
      <c r="Q43" s="342" t="s">
        <v>832</v>
      </c>
      <c r="R43" s="342"/>
      <c r="S43" s="342" t="s">
        <v>833</v>
      </c>
      <c r="T43" s="342" t="s">
        <v>699</v>
      </c>
      <c r="U43" s="342" t="s">
        <v>26</v>
      </c>
      <c r="V43" s="342" t="s">
        <v>702</v>
      </c>
      <c r="W43" s="342" t="s">
        <v>718</v>
      </c>
      <c r="X43" s="342">
        <f t="shared" si="0"/>
        <v>10</v>
      </c>
    </row>
    <row r="44" spans="1:24" ht="168" x14ac:dyDescent="0.3">
      <c r="A44" s="221" t="s">
        <v>330</v>
      </c>
      <c r="B44" s="342" t="s">
        <v>834</v>
      </c>
      <c r="C44" s="342">
        <v>0</v>
      </c>
      <c r="D44" s="342">
        <v>0</v>
      </c>
      <c r="E44" s="342">
        <v>0</v>
      </c>
      <c r="F44" s="342">
        <v>0</v>
      </c>
      <c r="G44" s="342">
        <v>1</v>
      </c>
      <c r="H44" s="342">
        <v>0</v>
      </c>
      <c r="I44" s="342">
        <v>0</v>
      </c>
      <c r="J44" s="342">
        <v>0</v>
      </c>
      <c r="K44" s="342"/>
      <c r="L44" s="342" t="s">
        <v>804</v>
      </c>
      <c r="M44" s="342" t="s">
        <v>702</v>
      </c>
      <c r="N44" s="342" t="s">
        <v>797</v>
      </c>
      <c r="O44" s="342" t="s">
        <v>835</v>
      </c>
      <c r="P44" s="342" t="s">
        <v>836</v>
      </c>
      <c r="Q44" s="342" t="s">
        <v>837</v>
      </c>
      <c r="R44" s="342"/>
      <c r="S44" s="342" t="s">
        <v>838</v>
      </c>
      <c r="T44" s="342" t="s">
        <v>699</v>
      </c>
      <c r="U44" s="342" t="s">
        <v>26</v>
      </c>
      <c r="V44" s="342" t="s">
        <v>702</v>
      </c>
      <c r="W44" s="342" t="s">
        <v>718</v>
      </c>
      <c r="X44" s="342">
        <f t="shared" si="0"/>
        <v>10</v>
      </c>
    </row>
    <row r="45" spans="1:24" ht="210" x14ac:dyDescent="0.3">
      <c r="A45" s="221" t="s">
        <v>332</v>
      </c>
      <c r="B45" s="342" t="s">
        <v>839</v>
      </c>
      <c r="C45" s="342">
        <v>0</v>
      </c>
      <c r="D45" s="342">
        <v>0</v>
      </c>
      <c r="E45" s="342">
        <v>0</v>
      </c>
      <c r="F45" s="342">
        <v>0</v>
      </c>
      <c r="G45" s="342">
        <v>1</v>
      </c>
      <c r="H45" s="342">
        <v>0</v>
      </c>
      <c r="I45" s="342">
        <v>0</v>
      </c>
      <c r="J45" s="342">
        <v>0</v>
      </c>
      <c r="K45" s="342"/>
      <c r="L45" s="342" t="s">
        <v>804</v>
      </c>
      <c r="M45" s="342" t="s">
        <v>702</v>
      </c>
      <c r="N45" s="342" t="s">
        <v>797</v>
      </c>
      <c r="O45" s="342" t="s">
        <v>840</v>
      </c>
      <c r="P45" s="342" t="s">
        <v>841</v>
      </c>
      <c r="Q45" s="342" t="s">
        <v>842</v>
      </c>
      <c r="R45" s="342"/>
      <c r="S45" s="342" t="s">
        <v>843</v>
      </c>
      <c r="T45" s="342" t="s">
        <v>844</v>
      </c>
      <c r="U45" s="342" t="s">
        <v>26</v>
      </c>
      <c r="V45" s="342" t="s">
        <v>702</v>
      </c>
      <c r="W45" s="342" t="s">
        <v>718</v>
      </c>
      <c r="X45" s="342">
        <f t="shared" si="0"/>
        <v>10</v>
      </c>
    </row>
    <row r="46" spans="1:24" ht="252" x14ac:dyDescent="0.3">
      <c r="A46" s="221" t="s">
        <v>334</v>
      </c>
      <c r="B46" s="342" t="s">
        <v>845</v>
      </c>
      <c r="C46" s="342">
        <v>0</v>
      </c>
      <c r="D46" s="342">
        <v>0</v>
      </c>
      <c r="E46" s="342">
        <v>0</v>
      </c>
      <c r="F46" s="342">
        <v>0</v>
      </c>
      <c r="G46" s="342">
        <v>1</v>
      </c>
      <c r="H46" s="342">
        <v>0</v>
      </c>
      <c r="I46" s="342">
        <v>0</v>
      </c>
      <c r="J46" s="342">
        <v>0</v>
      </c>
      <c r="K46" s="342"/>
      <c r="L46" s="342" t="s">
        <v>804</v>
      </c>
      <c r="M46" s="342" t="s">
        <v>702</v>
      </c>
      <c r="N46" s="342" t="s">
        <v>797</v>
      </c>
      <c r="O46" s="342" t="s">
        <v>846</v>
      </c>
      <c r="P46" s="342" t="s">
        <v>847</v>
      </c>
      <c r="Q46" s="342" t="s">
        <v>848</v>
      </c>
      <c r="R46" s="342"/>
      <c r="S46" s="342" t="s">
        <v>849</v>
      </c>
      <c r="T46" s="342" t="s">
        <v>699</v>
      </c>
      <c r="U46" s="342" t="s">
        <v>26</v>
      </c>
      <c r="V46" s="342" t="s">
        <v>702</v>
      </c>
      <c r="W46" s="342" t="s">
        <v>718</v>
      </c>
      <c r="X46" s="342">
        <f t="shared" si="0"/>
        <v>10</v>
      </c>
    </row>
    <row r="47" spans="1:24" ht="308" x14ac:dyDescent="0.3">
      <c r="A47" s="221" t="s">
        <v>336</v>
      </c>
      <c r="B47" s="342" t="s">
        <v>850</v>
      </c>
      <c r="C47" s="342">
        <v>0</v>
      </c>
      <c r="D47" s="342">
        <v>0</v>
      </c>
      <c r="E47" s="342">
        <v>0</v>
      </c>
      <c r="F47" s="342">
        <v>0</v>
      </c>
      <c r="G47" s="342">
        <v>1</v>
      </c>
      <c r="H47" s="342">
        <v>0</v>
      </c>
      <c r="I47" s="342">
        <v>0</v>
      </c>
      <c r="J47" s="342">
        <v>0</v>
      </c>
      <c r="K47" s="342"/>
      <c r="L47" s="342" t="s">
        <v>804</v>
      </c>
      <c r="M47" s="342" t="s">
        <v>702</v>
      </c>
      <c r="N47" s="342" t="s">
        <v>797</v>
      </c>
      <c r="O47" s="342" t="s">
        <v>851</v>
      </c>
      <c r="P47" s="342" t="s">
        <v>852</v>
      </c>
      <c r="Q47" s="342" t="s">
        <v>853</v>
      </c>
      <c r="R47" s="342"/>
      <c r="S47" s="342" t="s">
        <v>854</v>
      </c>
      <c r="U47" s="342" t="s">
        <v>26</v>
      </c>
      <c r="V47" s="342" t="s">
        <v>702</v>
      </c>
      <c r="W47" s="342" t="s">
        <v>718</v>
      </c>
      <c r="X47" s="342">
        <f t="shared" si="0"/>
        <v>10</v>
      </c>
    </row>
    <row r="48" spans="1:24" ht="154" x14ac:dyDescent="0.3">
      <c r="A48" s="221" t="s">
        <v>338</v>
      </c>
      <c r="B48" s="342" t="s">
        <v>855</v>
      </c>
      <c r="C48" s="342">
        <v>0</v>
      </c>
      <c r="D48" s="342">
        <v>0</v>
      </c>
      <c r="E48" s="342">
        <v>0</v>
      </c>
      <c r="F48" s="342">
        <v>0</v>
      </c>
      <c r="G48" s="342">
        <v>1</v>
      </c>
      <c r="H48" s="342">
        <v>0</v>
      </c>
      <c r="I48" s="342">
        <v>0</v>
      </c>
      <c r="J48" s="342">
        <v>0</v>
      </c>
      <c r="K48" s="342"/>
      <c r="L48" s="342" t="s">
        <v>804</v>
      </c>
      <c r="M48" s="342" t="s">
        <v>702</v>
      </c>
      <c r="N48" s="342" t="s">
        <v>797</v>
      </c>
      <c r="O48" s="342" t="s">
        <v>699</v>
      </c>
      <c r="P48" s="342" t="s">
        <v>856</v>
      </c>
      <c r="Q48" s="342" t="s">
        <v>857</v>
      </c>
      <c r="R48" s="342"/>
      <c r="S48" s="342" t="s">
        <v>858</v>
      </c>
      <c r="T48" s="342" t="s">
        <v>859</v>
      </c>
      <c r="U48" s="342" t="s">
        <v>26</v>
      </c>
      <c r="V48" s="342" t="s">
        <v>702</v>
      </c>
      <c r="W48" s="342" t="s">
        <v>718</v>
      </c>
      <c r="X48" s="342">
        <f t="shared" si="0"/>
        <v>10</v>
      </c>
    </row>
    <row r="49" spans="1:24" ht="224" x14ac:dyDescent="0.3">
      <c r="A49" s="221" t="s">
        <v>340</v>
      </c>
      <c r="B49" s="342" t="s">
        <v>860</v>
      </c>
      <c r="C49" s="342">
        <v>0</v>
      </c>
      <c r="D49" s="342">
        <v>0</v>
      </c>
      <c r="E49" s="342">
        <v>0</v>
      </c>
      <c r="F49" s="342">
        <v>0</v>
      </c>
      <c r="G49" s="342">
        <v>1</v>
      </c>
      <c r="H49" s="342">
        <v>0</v>
      </c>
      <c r="I49" s="342">
        <v>0</v>
      </c>
      <c r="J49" s="342">
        <v>0</v>
      </c>
      <c r="K49" s="342"/>
      <c r="L49" s="342" t="s">
        <v>804</v>
      </c>
      <c r="M49" s="342" t="s">
        <v>702</v>
      </c>
      <c r="N49" s="342" t="s">
        <v>797</v>
      </c>
      <c r="O49" s="342" t="s">
        <v>861</v>
      </c>
      <c r="P49" s="342" t="s">
        <v>861</v>
      </c>
      <c r="Q49" s="342" t="s">
        <v>862</v>
      </c>
      <c r="R49" s="342"/>
      <c r="S49" s="342" t="s">
        <v>863</v>
      </c>
      <c r="T49" s="342" t="s">
        <v>699</v>
      </c>
      <c r="U49" s="342" t="s">
        <v>46</v>
      </c>
      <c r="V49" s="342" t="s">
        <v>702</v>
      </c>
      <c r="W49" s="342" t="s">
        <v>718</v>
      </c>
      <c r="X49" s="342">
        <f t="shared" si="0"/>
        <v>10</v>
      </c>
    </row>
    <row r="50" spans="1:24" ht="210" x14ac:dyDescent="0.3">
      <c r="A50" s="354" t="s">
        <v>69</v>
      </c>
      <c r="B50" s="354" t="s">
        <v>864</v>
      </c>
      <c r="C50" s="342">
        <v>0</v>
      </c>
      <c r="D50" s="342">
        <v>1</v>
      </c>
      <c r="E50" s="342">
        <v>0</v>
      </c>
      <c r="F50" s="342">
        <v>0</v>
      </c>
      <c r="G50" s="342">
        <v>0</v>
      </c>
      <c r="H50" s="342">
        <v>0</v>
      </c>
      <c r="I50" s="342">
        <v>0</v>
      </c>
      <c r="J50" s="342">
        <v>1</v>
      </c>
      <c r="K50" s="342"/>
      <c r="L50" s="342" t="s">
        <v>767</v>
      </c>
      <c r="M50" s="342" t="s">
        <v>702</v>
      </c>
      <c r="N50" s="342" t="s">
        <v>699</v>
      </c>
      <c r="O50" s="342"/>
      <c r="P50" s="342" t="s">
        <v>865</v>
      </c>
      <c r="Q50" s="342" t="s">
        <v>866</v>
      </c>
      <c r="R50" s="350" t="s">
        <v>867</v>
      </c>
      <c r="S50" s="342" t="s">
        <v>868</v>
      </c>
      <c r="T50" s="342" t="s">
        <v>869</v>
      </c>
      <c r="U50" s="342" t="s">
        <v>26</v>
      </c>
      <c r="V50" s="342" t="s">
        <v>702</v>
      </c>
      <c r="W50" s="342" t="s">
        <v>769</v>
      </c>
      <c r="X50" s="342">
        <f t="shared" si="0"/>
        <v>20</v>
      </c>
    </row>
    <row r="51" spans="1:24" ht="112" x14ac:dyDescent="0.3">
      <c r="A51" s="354" t="s">
        <v>71</v>
      </c>
      <c r="B51" s="354" t="s">
        <v>870</v>
      </c>
      <c r="C51" s="342">
        <v>0</v>
      </c>
      <c r="D51" s="342">
        <v>1</v>
      </c>
      <c r="E51" s="342">
        <v>0</v>
      </c>
      <c r="F51" s="342">
        <v>0</v>
      </c>
      <c r="G51" s="342">
        <v>0</v>
      </c>
      <c r="H51" s="342">
        <v>0</v>
      </c>
      <c r="I51" s="342">
        <v>0</v>
      </c>
      <c r="J51" s="342">
        <v>1</v>
      </c>
      <c r="K51" s="342"/>
      <c r="L51" s="342" t="s">
        <v>767</v>
      </c>
      <c r="M51" s="342" t="s">
        <v>702</v>
      </c>
      <c r="N51" s="342" t="s">
        <v>699</v>
      </c>
      <c r="O51" s="342" t="s">
        <v>871</v>
      </c>
      <c r="P51" s="342" t="s">
        <v>871</v>
      </c>
      <c r="Q51" s="342" t="s">
        <v>871</v>
      </c>
      <c r="R51" s="350" t="s">
        <v>867</v>
      </c>
      <c r="S51" s="342" t="s">
        <v>872</v>
      </c>
      <c r="T51" s="342" t="s">
        <v>873</v>
      </c>
      <c r="U51" s="342" t="s">
        <v>26</v>
      </c>
      <c r="V51" s="342" t="s">
        <v>702</v>
      </c>
      <c r="W51" s="342" t="s">
        <v>769</v>
      </c>
      <c r="X51" s="342">
        <f t="shared" si="0"/>
        <v>20</v>
      </c>
    </row>
    <row r="52" spans="1:24" ht="84" x14ac:dyDescent="0.3">
      <c r="A52" s="354" t="s">
        <v>73</v>
      </c>
      <c r="B52" s="354" t="s">
        <v>874</v>
      </c>
      <c r="C52" s="342">
        <v>0</v>
      </c>
      <c r="D52" s="342">
        <v>1</v>
      </c>
      <c r="E52" s="342">
        <v>0</v>
      </c>
      <c r="F52" s="342">
        <v>0</v>
      </c>
      <c r="G52" s="342">
        <v>0</v>
      </c>
      <c r="H52" s="342">
        <v>0</v>
      </c>
      <c r="I52" s="342">
        <v>0</v>
      </c>
      <c r="J52" s="342">
        <v>1</v>
      </c>
      <c r="K52" s="342"/>
      <c r="L52" s="342" t="s">
        <v>767</v>
      </c>
      <c r="M52" s="342" t="s">
        <v>702</v>
      </c>
      <c r="N52" s="342" t="s">
        <v>699</v>
      </c>
      <c r="O52" s="342" t="s">
        <v>699</v>
      </c>
      <c r="P52" s="342" t="s">
        <v>699</v>
      </c>
      <c r="Q52" s="342" t="s">
        <v>699</v>
      </c>
      <c r="R52" s="350" t="s">
        <v>867</v>
      </c>
      <c r="S52" s="342" t="s">
        <v>875</v>
      </c>
      <c r="T52" s="342" t="s">
        <v>876</v>
      </c>
      <c r="U52" s="342" t="s">
        <v>26</v>
      </c>
      <c r="V52" s="342" t="s">
        <v>702</v>
      </c>
      <c r="W52" s="342" t="s">
        <v>769</v>
      </c>
      <c r="X52" s="342">
        <f t="shared" si="0"/>
        <v>20</v>
      </c>
    </row>
    <row r="53" spans="1:24" ht="364" x14ac:dyDescent="0.3">
      <c r="A53" s="354" t="s">
        <v>75</v>
      </c>
      <c r="B53" s="354" t="s">
        <v>877</v>
      </c>
      <c r="C53" s="342">
        <v>0</v>
      </c>
      <c r="D53" s="342">
        <v>1</v>
      </c>
      <c r="E53" s="342">
        <v>0</v>
      </c>
      <c r="F53" s="342">
        <v>0</v>
      </c>
      <c r="G53" s="342">
        <v>0</v>
      </c>
      <c r="H53" s="342">
        <v>0</v>
      </c>
      <c r="I53" s="342">
        <v>0</v>
      </c>
      <c r="J53" s="342">
        <v>1</v>
      </c>
      <c r="K53" s="342"/>
      <c r="L53" s="342" t="s">
        <v>767</v>
      </c>
      <c r="M53" s="342" t="s">
        <v>702</v>
      </c>
      <c r="N53" s="342" t="s">
        <v>699</v>
      </c>
      <c r="O53" s="342" t="s">
        <v>878</v>
      </c>
      <c r="P53" s="342" t="s">
        <v>879</v>
      </c>
      <c r="Q53" s="342" t="s">
        <v>880</v>
      </c>
      <c r="R53" s="350" t="s">
        <v>867</v>
      </c>
      <c r="S53" s="342" t="s">
        <v>881</v>
      </c>
      <c r="T53" s="342" t="s">
        <v>882</v>
      </c>
      <c r="U53" s="342" t="s">
        <v>26</v>
      </c>
      <c r="V53" s="342" t="s">
        <v>702</v>
      </c>
      <c r="W53" s="342" t="s">
        <v>769</v>
      </c>
      <c r="X53" s="342">
        <f t="shared" si="0"/>
        <v>20</v>
      </c>
    </row>
    <row r="54" spans="1:24" ht="196" x14ac:dyDescent="0.3">
      <c r="A54" s="342" t="s">
        <v>77</v>
      </c>
      <c r="B54" s="342" t="s">
        <v>883</v>
      </c>
      <c r="C54" s="342">
        <v>0</v>
      </c>
      <c r="D54" s="342">
        <v>1</v>
      </c>
      <c r="E54" s="342">
        <v>0</v>
      </c>
      <c r="F54" s="342">
        <v>0</v>
      </c>
      <c r="G54" s="342">
        <v>0</v>
      </c>
      <c r="H54" s="342">
        <v>0</v>
      </c>
      <c r="I54" s="342">
        <v>0</v>
      </c>
      <c r="J54" s="342">
        <v>0</v>
      </c>
      <c r="K54" s="342"/>
      <c r="L54" s="342" t="s">
        <v>767</v>
      </c>
      <c r="M54" s="342" t="s">
        <v>702</v>
      </c>
      <c r="N54" s="342" t="s">
        <v>699</v>
      </c>
      <c r="O54" s="342" t="s">
        <v>884</v>
      </c>
      <c r="P54" s="342" t="s">
        <v>885</v>
      </c>
      <c r="Q54" s="342" t="s">
        <v>886</v>
      </c>
      <c r="R54" s="342"/>
      <c r="S54" s="342" t="s">
        <v>887</v>
      </c>
      <c r="T54" s="342" t="s">
        <v>888</v>
      </c>
      <c r="U54" s="342" t="s">
        <v>26</v>
      </c>
      <c r="V54" s="342" t="s">
        <v>702</v>
      </c>
      <c r="W54" s="342" t="s">
        <v>718</v>
      </c>
      <c r="X54" s="342">
        <f t="shared" si="0"/>
        <v>10</v>
      </c>
    </row>
    <row r="55" spans="1:24" ht="154" x14ac:dyDescent="0.3">
      <c r="A55" s="354" t="s">
        <v>342</v>
      </c>
      <c r="B55" s="354" t="s">
        <v>889</v>
      </c>
      <c r="C55" s="342">
        <v>0</v>
      </c>
      <c r="D55" s="342">
        <v>0</v>
      </c>
      <c r="E55" s="342">
        <v>0</v>
      </c>
      <c r="F55" s="342">
        <v>0</v>
      </c>
      <c r="G55" s="342">
        <v>0</v>
      </c>
      <c r="H55" s="342">
        <v>1</v>
      </c>
      <c r="I55" s="342">
        <v>0</v>
      </c>
      <c r="J55" s="342">
        <v>1</v>
      </c>
      <c r="K55" s="342"/>
      <c r="L55" s="342" t="s">
        <v>890</v>
      </c>
      <c r="M55" s="342" t="s">
        <v>702</v>
      </c>
      <c r="N55" s="342" t="s">
        <v>891</v>
      </c>
      <c r="O55" s="342" t="s">
        <v>699</v>
      </c>
      <c r="P55" s="342" t="s">
        <v>699</v>
      </c>
      <c r="Q55" s="342" t="s">
        <v>699</v>
      </c>
      <c r="R55" s="342"/>
      <c r="S55" s="342" t="s">
        <v>892</v>
      </c>
      <c r="T55" s="342" t="s">
        <v>711</v>
      </c>
      <c r="U55" s="342" t="s">
        <v>46</v>
      </c>
      <c r="V55" s="342" t="s">
        <v>702</v>
      </c>
      <c r="W55" s="342" t="s">
        <v>769</v>
      </c>
      <c r="X55" s="342">
        <f t="shared" si="0"/>
        <v>20</v>
      </c>
    </row>
    <row r="56" spans="1:24" ht="154" x14ac:dyDescent="0.3">
      <c r="A56" s="354" t="s">
        <v>344</v>
      </c>
      <c r="B56" s="354" t="s">
        <v>893</v>
      </c>
      <c r="C56" s="342">
        <v>0</v>
      </c>
      <c r="D56" s="342">
        <v>0</v>
      </c>
      <c r="E56" s="342">
        <v>0</v>
      </c>
      <c r="F56" s="342">
        <v>0</v>
      </c>
      <c r="G56" s="342">
        <v>0</v>
      </c>
      <c r="H56" s="342">
        <v>1</v>
      </c>
      <c r="I56" s="342">
        <v>0</v>
      </c>
      <c r="J56" s="342">
        <v>1</v>
      </c>
      <c r="K56" s="342"/>
      <c r="L56" s="342" t="s">
        <v>890</v>
      </c>
      <c r="M56" s="342" t="s">
        <v>702</v>
      </c>
      <c r="N56" s="342" t="s">
        <v>891</v>
      </c>
      <c r="O56" s="342" t="s">
        <v>699</v>
      </c>
      <c r="P56" s="342" t="s">
        <v>699</v>
      </c>
      <c r="Q56" s="342" t="s">
        <v>699</v>
      </c>
      <c r="R56" s="342"/>
      <c r="S56" s="342" t="s">
        <v>892</v>
      </c>
      <c r="T56" s="342" t="s">
        <v>711</v>
      </c>
      <c r="U56" s="342" t="s">
        <v>26</v>
      </c>
      <c r="V56" s="342" t="s">
        <v>702</v>
      </c>
      <c r="W56" s="342" t="s">
        <v>769</v>
      </c>
      <c r="X56" s="342">
        <f t="shared" si="0"/>
        <v>20</v>
      </c>
    </row>
    <row r="57" spans="1:24" ht="154" x14ac:dyDescent="0.3">
      <c r="A57" s="354" t="s">
        <v>346</v>
      </c>
      <c r="B57" s="354" t="s">
        <v>894</v>
      </c>
      <c r="C57" s="342">
        <v>0</v>
      </c>
      <c r="D57" s="342">
        <v>0</v>
      </c>
      <c r="E57" s="342">
        <v>0</v>
      </c>
      <c r="F57" s="342">
        <v>0</v>
      </c>
      <c r="G57" s="342">
        <v>0</v>
      </c>
      <c r="H57" s="342">
        <v>1</v>
      </c>
      <c r="I57" s="342">
        <v>0</v>
      </c>
      <c r="J57" s="342">
        <v>1</v>
      </c>
      <c r="K57" s="342"/>
      <c r="L57" s="342" t="s">
        <v>890</v>
      </c>
      <c r="M57" s="342" t="s">
        <v>702</v>
      </c>
      <c r="N57" s="342" t="s">
        <v>891</v>
      </c>
      <c r="O57" s="342" t="s">
        <v>699</v>
      </c>
      <c r="P57" s="342" t="s">
        <v>699</v>
      </c>
      <c r="Q57" s="342" t="s">
        <v>699</v>
      </c>
      <c r="R57" s="342" t="s">
        <v>895</v>
      </c>
      <c r="S57" s="342" t="s">
        <v>892</v>
      </c>
      <c r="T57" s="342" t="s">
        <v>711</v>
      </c>
      <c r="U57" s="342" t="s">
        <v>26</v>
      </c>
      <c r="V57" s="342" t="s">
        <v>702</v>
      </c>
      <c r="W57" s="342" t="s">
        <v>769</v>
      </c>
      <c r="X57" s="342">
        <f t="shared" si="0"/>
        <v>20</v>
      </c>
    </row>
    <row r="58" spans="1:24" ht="154" x14ac:dyDescent="0.3">
      <c r="A58" s="354" t="s">
        <v>348</v>
      </c>
      <c r="B58" s="354" t="s">
        <v>896</v>
      </c>
      <c r="C58" s="342">
        <v>0</v>
      </c>
      <c r="D58" s="342">
        <v>0</v>
      </c>
      <c r="E58" s="342">
        <v>0</v>
      </c>
      <c r="F58" s="342">
        <v>0</v>
      </c>
      <c r="G58" s="342">
        <v>0</v>
      </c>
      <c r="H58" s="342">
        <v>1</v>
      </c>
      <c r="I58" s="342">
        <v>0</v>
      </c>
      <c r="J58" s="342">
        <v>1</v>
      </c>
      <c r="K58" s="342"/>
      <c r="L58" s="342" t="s">
        <v>890</v>
      </c>
      <c r="M58" s="342" t="s">
        <v>702</v>
      </c>
      <c r="N58" s="342" t="s">
        <v>891</v>
      </c>
      <c r="O58" s="342" t="s">
        <v>699</v>
      </c>
      <c r="P58" s="342" t="s">
        <v>699</v>
      </c>
      <c r="Q58" s="342" t="s">
        <v>699</v>
      </c>
      <c r="R58" s="342" t="s">
        <v>895</v>
      </c>
      <c r="S58" s="342" t="s">
        <v>892</v>
      </c>
      <c r="T58" s="342" t="s">
        <v>711</v>
      </c>
      <c r="U58" s="342" t="s">
        <v>26</v>
      </c>
      <c r="V58" s="342" t="s">
        <v>702</v>
      </c>
      <c r="W58" s="342" t="s">
        <v>769</v>
      </c>
      <c r="X58" s="342">
        <f t="shared" si="0"/>
        <v>20</v>
      </c>
    </row>
    <row r="59" spans="1:24" ht="154" x14ac:dyDescent="0.3">
      <c r="A59" s="342" t="s">
        <v>350</v>
      </c>
      <c r="B59" s="342" t="s">
        <v>897</v>
      </c>
      <c r="C59" s="342">
        <v>0</v>
      </c>
      <c r="D59" s="342">
        <v>0</v>
      </c>
      <c r="E59" s="342">
        <v>0</v>
      </c>
      <c r="F59" s="342">
        <v>0</v>
      </c>
      <c r="G59" s="342">
        <v>0</v>
      </c>
      <c r="H59" s="342">
        <v>1</v>
      </c>
      <c r="I59" s="342">
        <v>0</v>
      </c>
      <c r="J59" s="342">
        <v>1</v>
      </c>
      <c r="K59" s="342"/>
      <c r="L59" s="342" t="s">
        <v>890</v>
      </c>
      <c r="M59" s="342" t="s">
        <v>702</v>
      </c>
      <c r="N59" s="342" t="s">
        <v>891</v>
      </c>
      <c r="O59" s="342" t="s">
        <v>699</v>
      </c>
      <c r="P59" s="342" t="s">
        <v>699</v>
      </c>
      <c r="Q59" s="342" t="s">
        <v>699</v>
      </c>
      <c r="R59" s="342"/>
      <c r="S59" s="342" t="s">
        <v>892</v>
      </c>
      <c r="T59" s="342" t="s">
        <v>711</v>
      </c>
      <c r="U59" s="342" t="s">
        <v>46</v>
      </c>
      <c r="V59" s="342" t="s">
        <v>702</v>
      </c>
      <c r="W59" s="342" t="s">
        <v>718</v>
      </c>
      <c r="X59" s="342">
        <f t="shared" si="0"/>
        <v>10</v>
      </c>
    </row>
    <row r="60" spans="1:24" ht="154" x14ac:dyDescent="0.3">
      <c r="A60" s="342" t="s">
        <v>351</v>
      </c>
      <c r="B60" s="342" t="s">
        <v>898</v>
      </c>
      <c r="C60" s="342">
        <v>0</v>
      </c>
      <c r="D60" s="342">
        <v>0</v>
      </c>
      <c r="E60" s="342">
        <v>0</v>
      </c>
      <c r="F60" s="342">
        <v>0</v>
      </c>
      <c r="G60" s="342">
        <v>0</v>
      </c>
      <c r="H60" s="342">
        <v>1</v>
      </c>
      <c r="I60" s="342">
        <v>0</v>
      </c>
      <c r="J60" s="342">
        <v>1</v>
      </c>
      <c r="K60" s="342"/>
      <c r="L60" s="342" t="s">
        <v>890</v>
      </c>
      <c r="M60" s="342" t="s">
        <v>702</v>
      </c>
      <c r="N60" s="342" t="s">
        <v>891</v>
      </c>
      <c r="O60" s="342" t="s">
        <v>699</v>
      </c>
      <c r="P60" s="342" t="s">
        <v>699</v>
      </c>
      <c r="Q60" s="342" t="s">
        <v>699</v>
      </c>
      <c r="R60" s="342"/>
      <c r="S60" s="342" t="s">
        <v>892</v>
      </c>
      <c r="T60" s="342" t="s">
        <v>711</v>
      </c>
      <c r="U60" s="342" t="s">
        <v>46</v>
      </c>
      <c r="V60" s="342" t="s">
        <v>702</v>
      </c>
      <c r="W60" s="342" t="s">
        <v>718</v>
      </c>
      <c r="X60" s="342">
        <f t="shared" si="0"/>
        <v>10</v>
      </c>
    </row>
    <row r="61" spans="1:24" ht="154" x14ac:dyDescent="0.3">
      <c r="A61" s="342" t="s">
        <v>352</v>
      </c>
      <c r="B61" s="342" t="s">
        <v>899</v>
      </c>
      <c r="C61" s="342">
        <v>0</v>
      </c>
      <c r="D61" s="342">
        <v>0</v>
      </c>
      <c r="E61" s="342">
        <v>0</v>
      </c>
      <c r="F61" s="342">
        <v>0</v>
      </c>
      <c r="G61" s="342">
        <v>0</v>
      </c>
      <c r="H61" s="342">
        <v>1</v>
      </c>
      <c r="I61" s="342">
        <v>0</v>
      </c>
      <c r="J61" s="342">
        <v>1</v>
      </c>
      <c r="K61" s="342"/>
      <c r="L61" s="342" t="s">
        <v>890</v>
      </c>
      <c r="M61" s="342" t="s">
        <v>702</v>
      </c>
      <c r="N61" s="342" t="s">
        <v>891</v>
      </c>
      <c r="O61" s="342" t="s">
        <v>699</v>
      </c>
      <c r="P61" s="342" t="s">
        <v>699</v>
      </c>
      <c r="Q61" s="342" t="s">
        <v>699</v>
      </c>
      <c r="R61" s="342"/>
      <c r="S61" s="342" t="s">
        <v>892</v>
      </c>
      <c r="T61" s="342" t="s">
        <v>711</v>
      </c>
      <c r="U61" s="342" t="s">
        <v>46</v>
      </c>
      <c r="V61" s="342" t="s">
        <v>702</v>
      </c>
      <c r="W61" s="342" t="s">
        <v>718</v>
      </c>
      <c r="X61" s="342">
        <f t="shared" si="0"/>
        <v>10</v>
      </c>
    </row>
    <row r="62" spans="1:24" ht="154" x14ac:dyDescent="0.3">
      <c r="A62" s="342" t="s">
        <v>353</v>
      </c>
      <c r="B62" s="342" t="s">
        <v>900</v>
      </c>
      <c r="C62" s="342">
        <v>0</v>
      </c>
      <c r="D62" s="342">
        <v>0</v>
      </c>
      <c r="E62" s="342">
        <v>0</v>
      </c>
      <c r="F62" s="342">
        <v>0</v>
      </c>
      <c r="G62" s="342">
        <v>0</v>
      </c>
      <c r="H62" s="342">
        <v>1</v>
      </c>
      <c r="I62" s="342">
        <v>0</v>
      </c>
      <c r="J62" s="342">
        <v>1</v>
      </c>
      <c r="K62" s="342"/>
      <c r="L62" s="342" t="s">
        <v>890</v>
      </c>
      <c r="M62" s="342" t="s">
        <v>702</v>
      </c>
      <c r="N62" s="342" t="s">
        <v>891</v>
      </c>
      <c r="O62" s="342" t="s">
        <v>699</v>
      </c>
      <c r="P62" s="342"/>
      <c r="Q62" s="342" t="s">
        <v>699</v>
      </c>
      <c r="R62" s="342"/>
      <c r="S62" s="342" t="s">
        <v>892</v>
      </c>
      <c r="T62" s="342" t="s">
        <v>711</v>
      </c>
      <c r="U62" s="342" t="s">
        <v>46</v>
      </c>
      <c r="V62" s="342" t="s">
        <v>702</v>
      </c>
      <c r="W62" s="342" t="s">
        <v>718</v>
      </c>
      <c r="X62" s="342">
        <f t="shared" si="0"/>
        <v>10</v>
      </c>
    </row>
    <row r="63" spans="1:24" ht="154" x14ac:dyDescent="0.3">
      <c r="A63" s="342" t="s">
        <v>355</v>
      </c>
      <c r="B63" s="342" t="s">
        <v>901</v>
      </c>
      <c r="C63" s="342">
        <v>0</v>
      </c>
      <c r="D63" s="342">
        <v>0</v>
      </c>
      <c r="E63" s="342">
        <v>0</v>
      </c>
      <c r="F63" s="342">
        <v>0</v>
      </c>
      <c r="G63" s="342">
        <v>0</v>
      </c>
      <c r="H63" s="342">
        <v>1</v>
      </c>
      <c r="I63" s="342">
        <v>0</v>
      </c>
      <c r="J63" s="342">
        <v>1</v>
      </c>
      <c r="K63" s="342"/>
      <c r="L63" s="342" t="s">
        <v>890</v>
      </c>
      <c r="M63" s="342" t="s">
        <v>702</v>
      </c>
      <c r="N63" s="342" t="s">
        <v>891</v>
      </c>
      <c r="O63" s="342" t="s">
        <v>699</v>
      </c>
      <c r="P63" s="342"/>
      <c r="Q63" s="342" t="s">
        <v>699</v>
      </c>
      <c r="R63" s="342"/>
      <c r="S63" s="342" t="s">
        <v>892</v>
      </c>
      <c r="T63" s="342" t="s">
        <v>711</v>
      </c>
      <c r="U63" s="342" t="s">
        <v>46</v>
      </c>
      <c r="V63" s="342" t="s">
        <v>702</v>
      </c>
      <c r="W63" s="342" t="s">
        <v>718</v>
      </c>
      <c r="X63" s="342">
        <f t="shared" si="0"/>
        <v>10</v>
      </c>
    </row>
    <row r="64" spans="1:24" ht="210" x14ac:dyDescent="0.3">
      <c r="A64" s="354" t="s">
        <v>220</v>
      </c>
      <c r="B64" s="354" t="s">
        <v>902</v>
      </c>
      <c r="C64" s="342">
        <v>0</v>
      </c>
      <c r="D64" s="342">
        <v>0</v>
      </c>
      <c r="E64" s="342">
        <v>0</v>
      </c>
      <c r="F64" s="342">
        <v>1</v>
      </c>
      <c r="G64" s="342">
        <v>0</v>
      </c>
      <c r="H64" s="342">
        <v>0</v>
      </c>
      <c r="I64" s="342">
        <v>0</v>
      </c>
      <c r="J64" s="342">
        <v>1</v>
      </c>
      <c r="K64" s="342"/>
      <c r="L64" s="342" t="s">
        <v>903</v>
      </c>
      <c r="M64" s="342" t="s">
        <v>702</v>
      </c>
      <c r="N64" s="342" t="s">
        <v>904</v>
      </c>
      <c r="O64" s="342" t="s">
        <v>905</v>
      </c>
      <c r="P64" s="342" t="s">
        <v>906</v>
      </c>
      <c r="Q64" s="342" t="s">
        <v>907</v>
      </c>
      <c r="R64" s="342"/>
      <c r="S64" s="342" t="s">
        <v>908</v>
      </c>
      <c r="T64" s="342" t="s">
        <v>909</v>
      </c>
      <c r="U64" s="342" t="s">
        <v>26</v>
      </c>
      <c r="V64" s="342" t="s">
        <v>702</v>
      </c>
      <c r="W64" s="342" t="s">
        <v>769</v>
      </c>
      <c r="X64" s="342">
        <f t="shared" si="0"/>
        <v>20</v>
      </c>
    </row>
    <row r="65" spans="1:24" ht="210" x14ac:dyDescent="0.3">
      <c r="A65" s="354" t="s">
        <v>222</v>
      </c>
      <c r="B65" s="354" t="s">
        <v>910</v>
      </c>
      <c r="C65" s="342">
        <v>0</v>
      </c>
      <c r="D65" s="342">
        <v>0</v>
      </c>
      <c r="E65" s="342">
        <v>0</v>
      </c>
      <c r="F65" s="342">
        <v>1</v>
      </c>
      <c r="G65" s="342">
        <v>0</v>
      </c>
      <c r="H65" s="342">
        <v>0</v>
      </c>
      <c r="I65" s="342">
        <v>0</v>
      </c>
      <c r="J65" s="342">
        <v>0</v>
      </c>
      <c r="K65" s="342"/>
      <c r="L65" s="342" t="s">
        <v>903</v>
      </c>
      <c r="M65" s="342" t="s">
        <v>702</v>
      </c>
      <c r="N65" s="342" t="s">
        <v>904</v>
      </c>
      <c r="O65" s="342" t="s">
        <v>699</v>
      </c>
      <c r="P65" s="342" t="s">
        <v>911</v>
      </c>
      <c r="Q65" s="342" t="s">
        <v>912</v>
      </c>
      <c r="R65" s="342"/>
      <c r="S65" s="342" t="s">
        <v>913</v>
      </c>
      <c r="T65" s="342" t="s">
        <v>914</v>
      </c>
      <c r="U65" s="342" t="s">
        <v>26</v>
      </c>
      <c r="V65" s="342" t="s">
        <v>702</v>
      </c>
      <c r="W65" s="342" t="s">
        <v>769</v>
      </c>
      <c r="X65" s="342">
        <f t="shared" si="0"/>
        <v>20</v>
      </c>
    </row>
    <row r="66" spans="1:24" ht="210" x14ac:dyDescent="0.3">
      <c r="A66" s="354" t="s">
        <v>224</v>
      </c>
      <c r="B66" s="354" t="s">
        <v>915</v>
      </c>
      <c r="C66" s="342">
        <v>0</v>
      </c>
      <c r="D66" s="342">
        <v>0</v>
      </c>
      <c r="E66" s="342">
        <v>0</v>
      </c>
      <c r="F66" s="342">
        <v>1</v>
      </c>
      <c r="G66" s="342">
        <v>0</v>
      </c>
      <c r="H66" s="342">
        <v>0</v>
      </c>
      <c r="I66" s="342">
        <v>0</v>
      </c>
      <c r="J66" s="342">
        <v>0</v>
      </c>
      <c r="K66" s="342"/>
      <c r="L66" s="342" t="s">
        <v>903</v>
      </c>
      <c r="M66" s="342" t="s">
        <v>702</v>
      </c>
      <c r="N66" s="342" t="s">
        <v>904</v>
      </c>
      <c r="O66" s="342" t="s">
        <v>916</v>
      </c>
      <c r="P66" s="342" t="s">
        <v>917</v>
      </c>
      <c r="Q66" s="342" t="s">
        <v>918</v>
      </c>
      <c r="R66" s="342"/>
      <c r="S66" s="342" t="s">
        <v>919</v>
      </c>
      <c r="T66" s="342" t="s">
        <v>920</v>
      </c>
      <c r="U66" s="342" t="s">
        <v>26</v>
      </c>
      <c r="V66" s="342" t="s">
        <v>702</v>
      </c>
      <c r="W66" s="342" t="s">
        <v>769</v>
      </c>
      <c r="X66" s="342">
        <f t="shared" si="0"/>
        <v>20</v>
      </c>
    </row>
    <row r="67" spans="1:24" ht="84" x14ac:dyDescent="0.3">
      <c r="A67" s="354" t="s">
        <v>226</v>
      </c>
      <c r="B67" s="354" t="s">
        <v>921</v>
      </c>
      <c r="C67" s="342">
        <v>0</v>
      </c>
      <c r="D67" s="342">
        <v>0</v>
      </c>
      <c r="E67" s="342">
        <v>0</v>
      </c>
      <c r="F67" s="342">
        <v>1</v>
      </c>
      <c r="G67" s="342">
        <v>0</v>
      </c>
      <c r="H67" s="342">
        <v>0</v>
      </c>
      <c r="I67" s="342">
        <v>0</v>
      </c>
      <c r="J67" s="342">
        <v>1</v>
      </c>
      <c r="K67" s="342"/>
      <c r="L67" s="342" t="s">
        <v>903</v>
      </c>
      <c r="M67" s="342" t="s">
        <v>702</v>
      </c>
      <c r="N67" s="342" t="s">
        <v>904</v>
      </c>
      <c r="O67" s="342" t="s">
        <v>699</v>
      </c>
      <c r="P67" s="342" t="s">
        <v>922</v>
      </c>
      <c r="Q67" s="342" t="s">
        <v>923</v>
      </c>
      <c r="R67" s="342"/>
      <c r="S67" s="342" t="s">
        <v>924</v>
      </c>
      <c r="T67" s="342" t="s">
        <v>925</v>
      </c>
      <c r="U67" s="342" t="s">
        <v>46</v>
      </c>
      <c r="V67" s="342" t="s">
        <v>702</v>
      </c>
      <c r="W67" s="342" t="s">
        <v>769</v>
      </c>
      <c r="X67" s="342">
        <f t="shared" si="0"/>
        <v>20</v>
      </c>
    </row>
    <row r="68" spans="1:24" ht="238" x14ac:dyDescent="0.3">
      <c r="A68" s="354" t="s">
        <v>228</v>
      </c>
      <c r="B68" s="354" t="s">
        <v>926</v>
      </c>
      <c r="C68" s="342">
        <v>0</v>
      </c>
      <c r="D68" s="342">
        <v>0</v>
      </c>
      <c r="E68" s="342">
        <v>0</v>
      </c>
      <c r="F68" s="342">
        <v>1</v>
      </c>
      <c r="G68" s="342">
        <v>0</v>
      </c>
      <c r="H68" s="342">
        <v>0</v>
      </c>
      <c r="I68" s="342">
        <v>0</v>
      </c>
      <c r="J68" s="342">
        <v>0</v>
      </c>
      <c r="K68" s="342"/>
      <c r="L68" s="342" t="s">
        <v>903</v>
      </c>
      <c r="M68" s="342" t="s">
        <v>702</v>
      </c>
      <c r="N68" s="342" t="s">
        <v>904</v>
      </c>
      <c r="O68" s="342" t="s">
        <v>699</v>
      </c>
      <c r="P68" s="342" t="s">
        <v>927</v>
      </c>
      <c r="Q68" s="342" t="s">
        <v>928</v>
      </c>
      <c r="R68" s="342"/>
      <c r="S68" s="342" t="s">
        <v>929</v>
      </c>
      <c r="T68" s="342" t="s">
        <v>930</v>
      </c>
      <c r="U68" s="342" t="s">
        <v>26</v>
      </c>
      <c r="V68" s="342" t="s">
        <v>702</v>
      </c>
      <c r="W68" s="342" t="s">
        <v>769</v>
      </c>
      <c r="X68" s="342">
        <f t="shared" si="0"/>
        <v>20</v>
      </c>
    </row>
    <row r="69" spans="1:24" ht="224" x14ac:dyDescent="0.3">
      <c r="A69" s="354" t="s">
        <v>230</v>
      </c>
      <c r="B69" s="354" t="s">
        <v>931</v>
      </c>
      <c r="C69" s="342">
        <v>0</v>
      </c>
      <c r="D69" s="342">
        <v>0</v>
      </c>
      <c r="E69" s="342">
        <v>0</v>
      </c>
      <c r="F69" s="342">
        <v>1</v>
      </c>
      <c r="G69" s="342">
        <v>0</v>
      </c>
      <c r="H69" s="342">
        <v>0</v>
      </c>
      <c r="I69" s="342">
        <v>0</v>
      </c>
      <c r="J69" s="342">
        <v>0</v>
      </c>
      <c r="K69" s="342"/>
      <c r="L69" s="342" t="s">
        <v>903</v>
      </c>
      <c r="M69" s="342" t="s">
        <v>702</v>
      </c>
      <c r="N69" s="342" t="s">
        <v>904</v>
      </c>
      <c r="O69" s="342" t="s">
        <v>699</v>
      </c>
      <c r="P69" s="342" t="s">
        <v>932</v>
      </c>
      <c r="Q69" s="342" t="s">
        <v>933</v>
      </c>
      <c r="R69" s="342"/>
      <c r="S69" s="342" t="s">
        <v>934</v>
      </c>
      <c r="T69" s="342" t="s">
        <v>935</v>
      </c>
      <c r="U69" s="342" t="s">
        <v>26</v>
      </c>
      <c r="V69" s="342" t="s">
        <v>702</v>
      </c>
      <c r="W69" s="342" t="s">
        <v>769</v>
      </c>
      <c r="X69" s="342">
        <f t="shared" si="0"/>
        <v>20</v>
      </c>
    </row>
    <row r="70" spans="1:24" ht="140" x14ac:dyDescent="0.3">
      <c r="A70" s="354" t="s">
        <v>231</v>
      </c>
      <c r="B70" s="354" t="s">
        <v>936</v>
      </c>
      <c r="C70" s="342">
        <v>0</v>
      </c>
      <c r="D70" s="342">
        <v>0</v>
      </c>
      <c r="E70" s="342">
        <v>0</v>
      </c>
      <c r="F70" s="342">
        <v>1</v>
      </c>
      <c r="G70" s="342">
        <v>0</v>
      </c>
      <c r="H70" s="342">
        <v>0</v>
      </c>
      <c r="I70" s="342">
        <v>0</v>
      </c>
      <c r="J70" s="342">
        <v>0</v>
      </c>
      <c r="K70" s="342"/>
      <c r="L70" s="342" t="s">
        <v>903</v>
      </c>
      <c r="M70" s="342" t="s">
        <v>702</v>
      </c>
      <c r="N70" s="342" t="s">
        <v>904</v>
      </c>
      <c r="O70" s="342" t="s">
        <v>699</v>
      </c>
      <c r="P70" s="342" t="s">
        <v>937</v>
      </c>
      <c r="Q70" s="342" t="s">
        <v>938</v>
      </c>
      <c r="R70" s="342"/>
      <c r="S70" s="342" t="s">
        <v>939</v>
      </c>
      <c r="T70" s="342" t="s">
        <v>940</v>
      </c>
      <c r="U70" s="342" t="s">
        <v>26</v>
      </c>
      <c r="V70" s="342" t="s">
        <v>702</v>
      </c>
      <c r="W70" s="342" t="s">
        <v>769</v>
      </c>
      <c r="X70" s="342">
        <f t="shared" si="0"/>
        <v>20</v>
      </c>
    </row>
    <row r="71" spans="1:24" ht="210" x14ac:dyDescent="0.3">
      <c r="A71" s="342" t="s">
        <v>232</v>
      </c>
      <c r="B71" s="342" t="s">
        <v>941</v>
      </c>
      <c r="C71" s="342">
        <v>0</v>
      </c>
      <c r="D71" s="342">
        <v>0</v>
      </c>
      <c r="E71" s="342">
        <v>0</v>
      </c>
      <c r="F71" s="342">
        <v>1</v>
      </c>
      <c r="G71" s="342">
        <v>0</v>
      </c>
      <c r="H71" s="342">
        <v>0</v>
      </c>
      <c r="I71" s="342">
        <v>0</v>
      </c>
      <c r="J71" s="342">
        <v>1</v>
      </c>
      <c r="K71" s="342"/>
      <c r="L71" s="342" t="s">
        <v>903</v>
      </c>
      <c r="M71" s="342" t="s">
        <v>702</v>
      </c>
      <c r="N71" s="342" t="s">
        <v>904</v>
      </c>
      <c r="O71" s="342" t="s">
        <v>942</v>
      </c>
      <c r="P71" s="342" t="s">
        <v>943</v>
      </c>
      <c r="Q71" s="342" t="s">
        <v>942</v>
      </c>
      <c r="R71" s="342"/>
      <c r="S71" s="342" t="s">
        <v>944</v>
      </c>
      <c r="T71" s="342" t="s">
        <v>945</v>
      </c>
      <c r="U71" s="342" t="s">
        <v>26</v>
      </c>
      <c r="V71" s="342" t="s">
        <v>702</v>
      </c>
      <c r="W71" s="342" t="s">
        <v>718</v>
      </c>
      <c r="X71" s="342">
        <f t="shared" si="0"/>
        <v>10</v>
      </c>
    </row>
    <row r="72" spans="1:24" ht="210" x14ac:dyDescent="0.3">
      <c r="A72" s="342" t="s">
        <v>234</v>
      </c>
      <c r="B72" s="342" t="s">
        <v>946</v>
      </c>
      <c r="C72" s="342">
        <v>0</v>
      </c>
      <c r="D72" s="342">
        <v>0</v>
      </c>
      <c r="E72" s="342">
        <v>0</v>
      </c>
      <c r="F72" s="342">
        <v>1</v>
      </c>
      <c r="G72" s="342">
        <v>0</v>
      </c>
      <c r="H72" s="342">
        <v>0</v>
      </c>
      <c r="I72" s="342">
        <v>0</v>
      </c>
      <c r="J72" s="342">
        <v>0</v>
      </c>
      <c r="K72" s="342"/>
      <c r="L72" s="342" t="s">
        <v>903</v>
      </c>
      <c r="M72" s="342" t="s">
        <v>702</v>
      </c>
      <c r="N72" s="342" t="s">
        <v>904</v>
      </c>
      <c r="O72" s="342" t="s">
        <v>699</v>
      </c>
      <c r="P72" s="342" t="s">
        <v>947</v>
      </c>
      <c r="Q72" s="342" t="s">
        <v>948</v>
      </c>
      <c r="R72" s="342"/>
      <c r="S72" s="342" t="s">
        <v>949</v>
      </c>
      <c r="T72" s="342" t="s">
        <v>950</v>
      </c>
      <c r="U72" s="342" t="s">
        <v>26</v>
      </c>
      <c r="V72" s="342" t="s">
        <v>702</v>
      </c>
      <c r="W72" s="342" t="s">
        <v>718</v>
      </c>
      <c r="X72" s="342">
        <f t="shared" si="0"/>
        <v>10</v>
      </c>
    </row>
    <row r="73" spans="1:24" ht="238" x14ac:dyDescent="0.3">
      <c r="A73" s="342" t="s">
        <v>236</v>
      </c>
      <c r="B73" s="342" t="s">
        <v>951</v>
      </c>
      <c r="C73" s="342">
        <v>0</v>
      </c>
      <c r="D73" s="342">
        <v>0</v>
      </c>
      <c r="E73" s="342">
        <v>0</v>
      </c>
      <c r="F73" s="342">
        <v>1</v>
      </c>
      <c r="G73" s="342">
        <v>0</v>
      </c>
      <c r="H73" s="342">
        <v>0</v>
      </c>
      <c r="I73" s="342">
        <v>0</v>
      </c>
      <c r="J73" s="342">
        <v>0</v>
      </c>
      <c r="K73" s="342"/>
      <c r="L73" s="342" t="s">
        <v>903</v>
      </c>
      <c r="M73" s="342" t="s">
        <v>702</v>
      </c>
      <c r="N73" s="342" t="s">
        <v>904</v>
      </c>
      <c r="O73" s="342" t="s">
        <v>952</v>
      </c>
      <c r="P73" s="342" t="s">
        <v>792</v>
      </c>
      <c r="Q73" s="342" t="s">
        <v>953</v>
      </c>
      <c r="R73" s="342"/>
      <c r="S73" s="342" t="s">
        <v>954</v>
      </c>
      <c r="T73" s="342" t="s">
        <v>955</v>
      </c>
      <c r="U73" s="342" t="s">
        <v>26</v>
      </c>
      <c r="V73" s="342" t="s">
        <v>702</v>
      </c>
      <c r="W73" s="342" t="s">
        <v>718</v>
      </c>
      <c r="X73" s="342">
        <f t="shared" si="0"/>
        <v>10</v>
      </c>
    </row>
    <row r="74" spans="1:24" ht="182" x14ac:dyDescent="0.3">
      <c r="A74" s="342" t="s">
        <v>238</v>
      </c>
      <c r="B74" s="342" t="s">
        <v>956</v>
      </c>
      <c r="C74" s="342">
        <v>0</v>
      </c>
      <c r="D74" s="342">
        <v>0</v>
      </c>
      <c r="E74" s="342">
        <v>0</v>
      </c>
      <c r="F74" s="342">
        <v>1</v>
      </c>
      <c r="G74" s="342">
        <v>0</v>
      </c>
      <c r="H74" s="342">
        <v>0</v>
      </c>
      <c r="I74" s="342">
        <v>0</v>
      </c>
      <c r="J74" s="342">
        <v>0</v>
      </c>
      <c r="K74" s="342"/>
      <c r="L74" s="342" t="s">
        <v>903</v>
      </c>
      <c r="M74" s="342" t="s">
        <v>702</v>
      </c>
      <c r="N74" s="342" t="s">
        <v>904</v>
      </c>
      <c r="O74" s="342" t="s">
        <v>699</v>
      </c>
      <c r="P74" s="342" t="s">
        <v>957</v>
      </c>
      <c r="Q74" s="342" t="s">
        <v>958</v>
      </c>
      <c r="R74" s="342"/>
      <c r="S74" s="342" t="s">
        <v>959</v>
      </c>
      <c r="T74" s="342" t="s">
        <v>960</v>
      </c>
      <c r="U74" s="342" t="s">
        <v>26</v>
      </c>
      <c r="V74" s="342" t="s">
        <v>702</v>
      </c>
      <c r="W74" s="342" t="s">
        <v>718</v>
      </c>
      <c r="X74" s="342">
        <f t="shared" si="0"/>
        <v>10</v>
      </c>
    </row>
    <row r="75" spans="1:24" ht="182" x14ac:dyDescent="0.3">
      <c r="A75" s="342" t="s">
        <v>240</v>
      </c>
      <c r="B75" s="342" t="s">
        <v>961</v>
      </c>
      <c r="C75" s="342">
        <v>0</v>
      </c>
      <c r="D75" s="342">
        <v>0</v>
      </c>
      <c r="E75" s="342">
        <v>0</v>
      </c>
      <c r="F75" s="342">
        <v>1</v>
      </c>
      <c r="G75" s="342">
        <v>0</v>
      </c>
      <c r="H75" s="342">
        <v>0</v>
      </c>
      <c r="I75" s="342">
        <v>0</v>
      </c>
      <c r="J75" s="342">
        <v>0</v>
      </c>
      <c r="K75" s="342"/>
      <c r="L75" s="342" t="s">
        <v>903</v>
      </c>
      <c r="M75" s="342" t="s">
        <v>702</v>
      </c>
      <c r="N75" s="342" t="s">
        <v>904</v>
      </c>
      <c r="O75" s="342" t="s">
        <v>699</v>
      </c>
      <c r="P75" s="342" t="s">
        <v>962</v>
      </c>
      <c r="Q75" s="342" t="s">
        <v>963</v>
      </c>
      <c r="R75" s="342"/>
      <c r="S75" s="342" t="s">
        <v>959</v>
      </c>
      <c r="T75" s="342" t="s">
        <v>960</v>
      </c>
      <c r="U75" s="342" t="s">
        <v>26</v>
      </c>
      <c r="V75" s="342" t="s">
        <v>702</v>
      </c>
      <c r="W75" s="342" t="s">
        <v>718</v>
      </c>
      <c r="X75" s="342">
        <f t="shared" si="0"/>
        <v>10</v>
      </c>
    </row>
    <row r="76" spans="1:24" ht="126" x14ac:dyDescent="0.3">
      <c r="A76" s="342" t="s">
        <v>242</v>
      </c>
      <c r="B76" s="342" t="s">
        <v>964</v>
      </c>
      <c r="C76" s="342">
        <v>0</v>
      </c>
      <c r="D76" s="342">
        <v>0</v>
      </c>
      <c r="E76" s="342">
        <v>0</v>
      </c>
      <c r="F76" s="342">
        <v>1</v>
      </c>
      <c r="G76" s="342">
        <v>0</v>
      </c>
      <c r="H76" s="342">
        <v>0</v>
      </c>
      <c r="I76" s="342">
        <v>0</v>
      </c>
      <c r="J76" s="342">
        <v>0</v>
      </c>
      <c r="K76" s="342"/>
      <c r="L76" s="342" t="s">
        <v>903</v>
      </c>
      <c r="M76" s="342" t="s">
        <v>702</v>
      </c>
      <c r="N76" s="342" t="s">
        <v>904</v>
      </c>
      <c r="O76" s="342" t="s">
        <v>965</v>
      </c>
      <c r="P76" s="342" t="s">
        <v>966</v>
      </c>
      <c r="Q76" s="342" t="s">
        <v>967</v>
      </c>
      <c r="R76" s="342" t="s">
        <v>895</v>
      </c>
      <c r="S76" s="342" t="s">
        <v>968</v>
      </c>
      <c r="T76" s="342" t="s">
        <v>969</v>
      </c>
      <c r="U76" s="342" t="s">
        <v>26</v>
      </c>
      <c r="V76" s="342" t="s">
        <v>702</v>
      </c>
      <c r="W76" s="342" t="s">
        <v>727</v>
      </c>
      <c r="X76" s="342">
        <f t="shared" ref="X76:X139" si="1">IF($W76="Critical Importance",20,IF($W76="Minor Importance",5,10))</f>
        <v>5</v>
      </c>
    </row>
    <row r="77" spans="1:24" ht="182" x14ac:dyDescent="0.3">
      <c r="A77" s="342" t="s">
        <v>245</v>
      </c>
      <c r="B77" s="342" t="s">
        <v>970</v>
      </c>
      <c r="C77" s="342">
        <v>0</v>
      </c>
      <c r="D77" s="342">
        <v>0</v>
      </c>
      <c r="E77" s="342">
        <v>0</v>
      </c>
      <c r="F77" s="342">
        <v>1</v>
      </c>
      <c r="G77" s="342">
        <v>0</v>
      </c>
      <c r="H77" s="342">
        <v>0</v>
      </c>
      <c r="I77" s="342">
        <v>0</v>
      </c>
      <c r="J77" s="342">
        <v>0</v>
      </c>
      <c r="K77" s="342"/>
      <c r="L77" s="342" t="s">
        <v>903</v>
      </c>
      <c r="M77" s="342" t="s">
        <v>702</v>
      </c>
      <c r="N77" s="342" t="s">
        <v>904</v>
      </c>
      <c r="O77" s="342" t="s">
        <v>699</v>
      </c>
      <c r="P77" s="342" t="s">
        <v>971</v>
      </c>
      <c r="Q77" s="342" t="s">
        <v>972</v>
      </c>
      <c r="R77" s="342"/>
      <c r="S77" s="342" t="s">
        <v>973</v>
      </c>
      <c r="T77" s="342" t="s">
        <v>974</v>
      </c>
      <c r="U77" s="342" t="s">
        <v>26</v>
      </c>
      <c r="V77" s="342" t="s">
        <v>702</v>
      </c>
      <c r="W77" s="342" t="s">
        <v>727</v>
      </c>
      <c r="X77" s="342">
        <f t="shared" si="1"/>
        <v>5</v>
      </c>
    </row>
    <row r="78" spans="1:24" ht="182" x14ac:dyDescent="0.3">
      <c r="A78" s="354" t="s">
        <v>140</v>
      </c>
      <c r="B78" s="354" t="s">
        <v>975</v>
      </c>
      <c r="C78" s="342">
        <v>0</v>
      </c>
      <c r="D78" s="342">
        <v>0</v>
      </c>
      <c r="E78" s="342">
        <v>1</v>
      </c>
      <c r="F78" s="342">
        <v>0</v>
      </c>
      <c r="G78" s="342">
        <v>0</v>
      </c>
      <c r="H78" s="342">
        <v>0</v>
      </c>
      <c r="I78" s="342">
        <v>0</v>
      </c>
      <c r="J78" s="342">
        <v>1</v>
      </c>
      <c r="K78" s="342"/>
      <c r="L78" s="342" t="s">
        <v>678</v>
      </c>
      <c r="M78" s="342" t="s">
        <v>702</v>
      </c>
      <c r="N78" s="342" t="s">
        <v>904</v>
      </c>
      <c r="O78" s="342" t="s">
        <v>976</v>
      </c>
      <c r="P78" s="342" t="s">
        <v>977</v>
      </c>
      <c r="Q78" s="342" t="s">
        <v>978</v>
      </c>
      <c r="R78" s="342"/>
      <c r="S78" s="342" t="s">
        <v>979</v>
      </c>
      <c r="T78" s="342" t="s">
        <v>980</v>
      </c>
      <c r="U78" s="342" t="s">
        <v>26</v>
      </c>
      <c r="V78" s="342" t="s">
        <v>702</v>
      </c>
      <c r="W78" s="342" t="s">
        <v>769</v>
      </c>
      <c r="X78" s="342">
        <f t="shared" si="1"/>
        <v>20</v>
      </c>
    </row>
    <row r="79" spans="1:24" ht="168" x14ac:dyDescent="0.3">
      <c r="A79" s="354" t="s">
        <v>142</v>
      </c>
      <c r="B79" s="354" t="s">
        <v>981</v>
      </c>
      <c r="C79" s="342">
        <v>0</v>
      </c>
      <c r="D79" s="342">
        <v>0</v>
      </c>
      <c r="E79" s="342">
        <v>1</v>
      </c>
      <c r="F79" s="342">
        <v>0</v>
      </c>
      <c r="G79" s="342">
        <v>0</v>
      </c>
      <c r="H79" s="342">
        <v>0</v>
      </c>
      <c r="I79" s="342">
        <v>0</v>
      </c>
      <c r="J79" s="342">
        <v>1</v>
      </c>
      <c r="K79" s="342"/>
      <c r="L79" s="342" t="s">
        <v>678</v>
      </c>
      <c r="M79" s="342" t="s">
        <v>702</v>
      </c>
      <c r="N79" s="342" t="s">
        <v>904</v>
      </c>
      <c r="O79" s="342" t="s">
        <v>699</v>
      </c>
      <c r="P79" s="342" t="s">
        <v>982</v>
      </c>
      <c r="Q79" s="342" t="s">
        <v>983</v>
      </c>
      <c r="R79" s="342"/>
      <c r="S79" s="342" t="s">
        <v>984</v>
      </c>
      <c r="T79" s="342" t="s">
        <v>985</v>
      </c>
      <c r="U79" s="342" t="s">
        <v>26</v>
      </c>
      <c r="V79" s="342" t="s">
        <v>702</v>
      </c>
      <c r="W79" s="342" t="s">
        <v>769</v>
      </c>
      <c r="X79" s="342">
        <f t="shared" si="1"/>
        <v>20</v>
      </c>
    </row>
    <row r="80" spans="1:24" ht="154" x14ac:dyDescent="0.3">
      <c r="A80" s="354" t="s">
        <v>144</v>
      </c>
      <c r="B80" s="354" t="s">
        <v>986</v>
      </c>
      <c r="C80" s="342">
        <v>0</v>
      </c>
      <c r="D80" s="342">
        <v>0</v>
      </c>
      <c r="E80" s="342">
        <v>1</v>
      </c>
      <c r="F80" s="342">
        <v>0</v>
      </c>
      <c r="G80" s="342">
        <v>0</v>
      </c>
      <c r="H80" s="342">
        <v>0</v>
      </c>
      <c r="I80" s="342">
        <v>0</v>
      </c>
      <c r="J80" s="342">
        <v>0</v>
      </c>
      <c r="K80" s="342"/>
      <c r="L80" s="342" t="s">
        <v>678</v>
      </c>
      <c r="M80" s="342" t="s">
        <v>702</v>
      </c>
      <c r="N80" s="342" t="s">
        <v>904</v>
      </c>
      <c r="O80" s="342" t="s">
        <v>699</v>
      </c>
      <c r="P80" s="342" t="s">
        <v>987</v>
      </c>
      <c r="Q80" s="342" t="s">
        <v>988</v>
      </c>
      <c r="R80" s="342"/>
      <c r="S80" s="342" t="s">
        <v>989</v>
      </c>
      <c r="T80" s="342" t="s">
        <v>990</v>
      </c>
      <c r="U80" s="342" t="s">
        <v>26</v>
      </c>
      <c r="V80" s="342" t="s">
        <v>702</v>
      </c>
      <c r="W80" s="342" t="s">
        <v>769</v>
      </c>
      <c r="X80" s="342">
        <f t="shared" si="1"/>
        <v>20</v>
      </c>
    </row>
    <row r="81" spans="1:24" ht="154" x14ac:dyDescent="0.3">
      <c r="A81" s="354" t="s">
        <v>146</v>
      </c>
      <c r="B81" s="354" t="s">
        <v>991</v>
      </c>
      <c r="C81" s="342">
        <v>0</v>
      </c>
      <c r="D81" s="342">
        <v>0</v>
      </c>
      <c r="E81" s="342">
        <v>1</v>
      </c>
      <c r="F81" s="342">
        <v>0</v>
      </c>
      <c r="G81" s="342">
        <v>0</v>
      </c>
      <c r="H81" s="342">
        <v>0</v>
      </c>
      <c r="I81" s="342">
        <v>0</v>
      </c>
      <c r="J81" s="342">
        <v>0</v>
      </c>
      <c r="K81" s="342"/>
      <c r="L81" s="342" t="s">
        <v>678</v>
      </c>
      <c r="M81" s="342" t="s">
        <v>702</v>
      </c>
      <c r="N81" s="342" t="s">
        <v>904</v>
      </c>
      <c r="O81" s="342" t="s">
        <v>992</v>
      </c>
      <c r="P81" s="342" t="s">
        <v>699</v>
      </c>
      <c r="Q81" s="342" t="s">
        <v>993</v>
      </c>
      <c r="R81" s="342"/>
      <c r="S81" s="342" t="s">
        <v>989</v>
      </c>
      <c r="T81" s="342" t="s">
        <v>994</v>
      </c>
      <c r="U81" s="342" t="s">
        <v>46</v>
      </c>
      <c r="V81" s="342" t="s">
        <v>702</v>
      </c>
      <c r="W81" s="342" t="s">
        <v>769</v>
      </c>
      <c r="X81" s="342">
        <f t="shared" si="1"/>
        <v>20</v>
      </c>
    </row>
    <row r="82" spans="1:24" ht="168" x14ac:dyDescent="0.3">
      <c r="A82" s="354" t="s">
        <v>148</v>
      </c>
      <c r="B82" s="354" t="s">
        <v>995</v>
      </c>
      <c r="C82" s="342">
        <v>0</v>
      </c>
      <c r="D82" s="342">
        <v>0</v>
      </c>
      <c r="E82" s="342">
        <v>1</v>
      </c>
      <c r="F82" s="342">
        <v>0</v>
      </c>
      <c r="G82" s="342">
        <v>0</v>
      </c>
      <c r="H82" s="342">
        <v>0</v>
      </c>
      <c r="I82" s="342">
        <v>0</v>
      </c>
      <c r="J82" s="342">
        <v>0</v>
      </c>
      <c r="K82" s="342"/>
      <c r="L82" s="342" t="s">
        <v>678</v>
      </c>
      <c r="M82" s="342" t="s">
        <v>702</v>
      </c>
      <c r="N82" s="342" t="s">
        <v>904</v>
      </c>
      <c r="O82" s="342" t="s">
        <v>699</v>
      </c>
      <c r="P82" s="342" t="s">
        <v>996</v>
      </c>
      <c r="Q82" s="342" t="s">
        <v>997</v>
      </c>
      <c r="R82" s="342"/>
      <c r="S82" s="342" t="s">
        <v>998</v>
      </c>
      <c r="T82" s="342" t="s">
        <v>999</v>
      </c>
      <c r="U82" s="342" t="s">
        <v>26</v>
      </c>
      <c r="V82" s="342" t="s">
        <v>702</v>
      </c>
      <c r="W82" s="342" t="s">
        <v>769</v>
      </c>
      <c r="X82" s="342">
        <f t="shared" si="1"/>
        <v>20</v>
      </c>
    </row>
    <row r="83" spans="1:24" ht="140" x14ac:dyDescent="0.3">
      <c r="A83" s="354" t="s">
        <v>150</v>
      </c>
      <c r="B83" s="354" t="s">
        <v>1000</v>
      </c>
      <c r="C83" s="342">
        <v>0</v>
      </c>
      <c r="D83" s="342">
        <v>0</v>
      </c>
      <c r="E83" s="342">
        <v>1</v>
      </c>
      <c r="F83" s="342">
        <v>0</v>
      </c>
      <c r="G83" s="342">
        <v>0</v>
      </c>
      <c r="H83" s="342">
        <v>0</v>
      </c>
      <c r="I83" s="342">
        <v>0</v>
      </c>
      <c r="J83" s="342">
        <v>0</v>
      </c>
      <c r="K83" s="342"/>
      <c r="L83" s="342" t="s">
        <v>678</v>
      </c>
      <c r="M83" s="342" t="s">
        <v>702</v>
      </c>
      <c r="N83" s="342" t="s">
        <v>904</v>
      </c>
      <c r="O83" s="342" t="s">
        <v>699</v>
      </c>
      <c r="P83" s="342" t="s">
        <v>1001</v>
      </c>
      <c r="Q83" s="342" t="s">
        <v>1002</v>
      </c>
      <c r="R83" s="342"/>
      <c r="S83" s="342" t="s">
        <v>1003</v>
      </c>
      <c r="T83" s="342" t="s">
        <v>1004</v>
      </c>
      <c r="U83" s="342" t="s">
        <v>26</v>
      </c>
      <c r="V83" s="342" t="s">
        <v>702</v>
      </c>
      <c r="W83" s="342" t="s">
        <v>769</v>
      </c>
      <c r="X83" s="342">
        <f t="shared" si="1"/>
        <v>20</v>
      </c>
    </row>
    <row r="84" spans="1:24" ht="154" x14ac:dyDescent="0.3">
      <c r="A84" s="354" t="s">
        <v>152</v>
      </c>
      <c r="B84" s="354" t="s">
        <v>1005</v>
      </c>
      <c r="C84" s="342">
        <v>0</v>
      </c>
      <c r="D84" s="342">
        <v>0</v>
      </c>
      <c r="E84" s="342">
        <v>1</v>
      </c>
      <c r="F84" s="342">
        <v>0</v>
      </c>
      <c r="G84" s="342">
        <v>0</v>
      </c>
      <c r="H84" s="342">
        <v>0</v>
      </c>
      <c r="I84" s="342">
        <v>0</v>
      </c>
      <c r="J84" s="342">
        <v>0</v>
      </c>
      <c r="K84" s="342"/>
      <c r="L84" s="342" t="s">
        <v>678</v>
      </c>
      <c r="M84" s="342" t="s">
        <v>702</v>
      </c>
      <c r="N84" s="342" t="s">
        <v>904</v>
      </c>
      <c r="O84" s="342" t="s">
        <v>699</v>
      </c>
      <c r="P84" s="342" t="s">
        <v>699</v>
      </c>
      <c r="Q84" s="342" t="s">
        <v>1006</v>
      </c>
      <c r="R84" s="342"/>
      <c r="S84" s="342" t="s">
        <v>1007</v>
      </c>
      <c r="T84" s="342" t="s">
        <v>1008</v>
      </c>
      <c r="U84" s="342" t="s">
        <v>46</v>
      </c>
      <c r="V84" s="342" t="s">
        <v>702</v>
      </c>
      <c r="W84" s="342" t="s">
        <v>769</v>
      </c>
      <c r="X84" s="342">
        <f t="shared" si="1"/>
        <v>20</v>
      </c>
    </row>
    <row r="85" spans="1:24" ht="84" x14ac:dyDescent="0.3">
      <c r="A85" s="354" t="s">
        <v>154</v>
      </c>
      <c r="B85" s="354" t="s">
        <v>1009</v>
      </c>
      <c r="C85" s="342">
        <v>0</v>
      </c>
      <c r="D85" s="342">
        <v>0</v>
      </c>
      <c r="E85" s="342">
        <v>1</v>
      </c>
      <c r="F85" s="342">
        <v>0</v>
      </c>
      <c r="G85" s="342">
        <v>0</v>
      </c>
      <c r="H85" s="342">
        <v>0</v>
      </c>
      <c r="I85" s="342">
        <v>0</v>
      </c>
      <c r="J85" s="342">
        <v>0</v>
      </c>
      <c r="K85" s="342"/>
      <c r="L85" s="342" t="s">
        <v>678</v>
      </c>
      <c r="M85" s="342" t="s">
        <v>702</v>
      </c>
      <c r="N85" s="342" t="s">
        <v>904</v>
      </c>
      <c r="O85" s="342" t="s">
        <v>699</v>
      </c>
      <c r="P85" s="342" t="s">
        <v>699</v>
      </c>
      <c r="Q85" s="342" t="s">
        <v>1010</v>
      </c>
      <c r="R85" s="342"/>
      <c r="S85" s="342" t="s">
        <v>1011</v>
      </c>
      <c r="T85" s="342" t="s">
        <v>1012</v>
      </c>
      <c r="U85" s="342" t="s">
        <v>46</v>
      </c>
      <c r="V85" s="342" t="s">
        <v>702</v>
      </c>
      <c r="W85" s="342" t="s">
        <v>769</v>
      </c>
      <c r="X85" s="342">
        <f t="shared" si="1"/>
        <v>20</v>
      </c>
    </row>
    <row r="86" spans="1:24" ht="196" x14ac:dyDescent="0.3">
      <c r="A86" s="354" t="s">
        <v>155</v>
      </c>
      <c r="B86" s="354" t="s">
        <v>1013</v>
      </c>
      <c r="C86" s="342">
        <v>0</v>
      </c>
      <c r="D86" s="342">
        <v>0</v>
      </c>
      <c r="E86" s="342">
        <v>1</v>
      </c>
      <c r="F86" s="342">
        <v>0</v>
      </c>
      <c r="G86" s="342">
        <v>0</v>
      </c>
      <c r="H86" s="342">
        <v>0</v>
      </c>
      <c r="I86" s="342">
        <v>0</v>
      </c>
      <c r="J86" s="342">
        <v>1</v>
      </c>
      <c r="K86" s="342"/>
      <c r="L86" s="342" t="s">
        <v>678</v>
      </c>
      <c r="M86" s="342" t="s">
        <v>702</v>
      </c>
      <c r="N86" s="342" t="s">
        <v>904</v>
      </c>
      <c r="O86" s="342" t="s">
        <v>699</v>
      </c>
      <c r="P86" s="342" t="s">
        <v>1014</v>
      </c>
      <c r="Q86" s="342" t="s">
        <v>699</v>
      </c>
      <c r="R86" s="342"/>
      <c r="S86" s="342" t="s">
        <v>1015</v>
      </c>
      <c r="T86" s="342" t="s">
        <v>1016</v>
      </c>
      <c r="U86" s="342" t="s">
        <v>26</v>
      </c>
      <c r="V86" s="342" t="s">
        <v>702</v>
      </c>
      <c r="W86" s="342" t="s">
        <v>769</v>
      </c>
      <c r="X86" s="342">
        <f t="shared" si="1"/>
        <v>20</v>
      </c>
    </row>
    <row r="87" spans="1:24" ht="238" x14ac:dyDescent="0.3">
      <c r="A87" s="354" t="s">
        <v>157</v>
      </c>
      <c r="B87" s="354" t="s">
        <v>1017</v>
      </c>
      <c r="C87" s="342">
        <v>0</v>
      </c>
      <c r="D87" s="342">
        <v>0</v>
      </c>
      <c r="E87" s="342">
        <v>1</v>
      </c>
      <c r="F87" s="342">
        <v>0</v>
      </c>
      <c r="G87" s="342">
        <v>0</v>
      </c>
      <c r="H87" s="342">
        <v>0</v>
      </c>
      <c r="I87" s="342">
        <v>0</v>
      </c>
      <c r="J87" s="342">
        <v>0</v>
      </c>
      <c r="K87" s="342"/>
      <c r="L87" s="342" t="s">
        <v>700</v>
      </c>
      <c r="M87" s="342" t="s">
        <v>702</v>
      </c>
      <c r="N87" s="342" t="s">
        <v>904</v>
      </c>
      <c r="O87" s="342" t="s">
        <v>1018</v>
      </c>
      <c r="P87" s="342" t="s">
        <v>1018</v>
      </c>
      <c r="Q87" s="342" t="s">
        <v>1018</v>
      </c>
      <c r="R87" s="342"/>
      <c r="S87" s="342" t="s">
        <v>1019</v>
      </c>
      <c r="T87" s="342" t="s">
        <v>1016</v>
      </c>
      <c r="U87" s="342" t="s">
        <v>700</v>
      </c>
      <c r="V87" s="342" t="s">
        <v>702</v>
      </c>
      <c r="W87" s="342"/>
      <c r="X87" s="342"/>
    </row>
    <row r="88" spans="1:24" ht="196" x14ac:dyDescent="0.3">
      <c r="A88" s="354" t="s">
        <v>159</v>
      </c>
      <c r="B88" s="354" t="s">
        <v>1020</v>
      </c>
      <c r="C88" s="342">
        <v>0</v>
      </c>
      <c r="D88" s="342">
        <v>0</v>
      </c>
      <c r="E88" s="342">
        <v>1</v>
      </c>
      <c r="F88" s="342">
        <v>0</v>
      </c>
      <c r="G88" s="342">
        <v>0</v>
      </c>
      <c r="H88" s="342">
        <v>0</v>
      </c>
      <c r="I88" s="342">
        <v>0</v>
      </c>
      <c r="J88" s="342">
        <v>1</v>
      </c>
      <c r="K88" s="342"/>
      <c r="L88" s="342" t="s">
        <v>678</v>
      </c>
      <c r="M88" s="342" t="s">
        <v>702</v>
      </c>
      <c r="N88" s="342" t="s">
        <v>904</v>
      </c>
      <c r="O88" s="342" t="s">
        <v>1021</v>
      </c>
      <c r="P88" s="342" t="s">
        <v>1021</v>
      </c>
      <c r="Q88" s="342" t="s">
        <v>1021</v>
      </c>
      <c r="R88" s="342"/>
      <c r="S88" s="342" t="s">
        <v>1022</v>
      </c>
      <c r="T88" s="342" t="s">
        <v>1023</v>
      </c>
      <c r="U88" s="342" t="s">
        <v>26</v>
      </c>
      <c r="V88" s="342" t="s">
        <v>702</v>
      </c>
      <c r="W88" s="342" t="s">
        <v>769</v>
      </c>
      <c r="X88" s="342">
        <f t="shared" si="1"/>
        <v>20</v>
      </c>
    </row>
    <row r="89" spans="1:24" ht="252" x14ac:dyDescent="0.3">
      <c r="A89" s="342" t="s">
        <v>161</v>
      </c>
      <c r="B89" s="342" t="s">
        <v>1024</v>
      </c>
      <c r="C89" s="342">
        <v>0</v>
      </c>
      <c r="D89" s="342">
        <v>0</v>
      </c>
      <c r="E89" s="342">
        <v>1</v>
      </c>
      <c r="F89" s="342">
        <v>0</v>
      </c>
      <c r="G89" s="342">
        <v>0</v>
      </c>
      <c r="H89" s="342">
        <v>0</v>
      </c>
      <c r="I89" s="342">
        <v>0</v>
      </c>
      <c r="J89" s="342">
        <v>0</v>
      </c>
      <c r="K89" s="342"/>
      <c r="L89" s="342" t="s">
        <v>678</v>
      </c>
      <c r="M89" s="342" t="s">
        <v>702</v>
      </c>
      <c r="N89" s="342" t="s">
        <v>904</v>
      </c>
      <c r="O89" s="342" t="s">
        <v>699</v>
      </c>
      <c r="P89" s="342" t="s">
        <v>1025</v>
      </c>
      <c r="Q89" s="342" t="s">
        <v>1026</v>
      </c>
      <c r="R89" s="342"/>
      <c r="S89" s="342" t="s">
        <v>1027</v>
      </c>
      <c r="T89" s="342" t="s">
        <v>1028</v>
      </c>
      <c r="U89" s="342" t="s">
        <v>26</v>
      </c>
      <c r="V89" s="342" t="s">
        <v>702</v>
      </c>
      <c r="W89" s="342" t="s">
        <v>718</v>
      </c>
      <c r="X89" s="342">
        <f t="shared" si="1"/>
        <v>10</v>
      </c>
    </row>
    <row r="90" spans="1:24" ht="126" x14ac:dyDescent="0.3">
      <c r="A90" s="342" t="s">
        <v>163</v>
      </c>
      <c r="B90" s="342" t="s">
        <v>1029</v>
      </c>
      <c r="C90" s="342">
        <v>0</v>
      </c>
      <c r="D90" s="342">
        <v>0</v>
      </c>
      <c r="E90" s="342">
        <v>1</v>
      </c>
      <c r="F90" s="342">
        <v>0</v>
      </c>
      <c r="G90" s="342">
        <v>0</v>
      </c>
      <c r="H90" s="342">
        <v>0</v>
      </c>
      <c r="I90" s="342">
        <v>0</v>
      </c>
      <c r="J90" s="342">
        <v>0</v>
      </c>
      <c r="K90" s="342"/>
      <c r="L90" s="342" t="s">
        <v>678</v>
      </c>
      <c r="M90" s="342" t="s">
        <v>702</v>
      </c>
      <c r="N90" s="342" t="s">
        <v>904</v>
      </c>
      <c r="O90" s="342" t="s">
        <v>699</v>
      </c>
      <c r="P90" s="342" t="s">
        <v>1030</v>
      </c>
      <c r="Q90" s="342" t="s">
        <v>699</v>
      </c>
      <c r="R90" s="342"/>
      <c r="S90" s="342" t="s">
        <v>1031</v>
      </c>
      <c r="T90" s="342" t="s">
        <v>1032</v>
      </c>
      <c r="U90" s="342" t="s">
        <v>26</v>
      </c>
      <c r="V90" s="342" t="s">
        <v>702</v>
      </c>
      <c r="W90" s="342" t="s">
        <v>718</v>
      </c>
      <c r="X90" s="342">
        <f t="shared" si="1"/>
        <v>10</v>
      </c>
    </row>
    <row r="91" spans="1:24" ht="224" x14ac:dyDescent="0.3">
      <c r="A91" s="342" t="s">
        <v>164</v>
      </c>
      <c r="B91" s="342" t="s">
        <v>1033</v>
      </c>
      <c r="C91" s="342">
        <v>0</v>
      </c>
      <c r="D91" s="342">
        <v>0</v>
      </c>
      <c r="E91" s="342">
        <v>1</v>
      </c>
      <c r="F91" s="342">
        <v>0</v>
      </c>
      <c r="G91" s="342">
        <v>0</v>
      </c>
      <c r="H91" s="342">
        <v>0</v>
      </c>
      <c r="I91" s="342">
        <v>0</v>
      </c>
      <c r="J91" s="342">
        <v>0</v>
      </c>
      <c r="K91" s="342"/>
      <c r="L91" s="342" t="s">
        <v>678</v>
      </c>
      <c r="M91" s="342" t="s">
        <v>702</v>
      </c>
      <c r="N91" s="342" t="s">
        <v>904</v>
      </c>
      <c r="O91" s="342" t="s">
        <v>699</v>
      </c>
      <c r="P91" s="342" t="s">
        <v>1034</v>
      </c>
      <c r="Q91" s="342" t="s">
        <v>1035</v>
      </c>
      <c r="R91" s="342"/>
      <c r="S91" s="342" t="s">
        <v>1036</v>
      </c>
      <c r="T91" s="342" t="s">
        <v>1037</v>
      </c>
      <c r="U91" s="342" t="s">
        <v>26</v>
      </c>
      <c r="V91" s="342" t="s">
        <v>702</v>
      </c>
      <c r="W91" s="342" t="s">
        <v>718</v>
      </c>
      <c r="X91" s="342">
        <f t="shared" si="1"/>
        <v>10</v>
      </c>
    </row>
    <row r="92" spans="1:24" ht="182" x14ac:dyDescent="0.3">
      <c r="A92" s="342" t="s">
        <v>166</v>
      </c>
      <c r="B92" s="342" t="s">
        <v>1038</v>
      </c>
      <c r="C92" s="342">
        <v>0</v>
      </c>
      <c r="D92" s="342">
        <v>0</v>
      </c>
      <c r="E92" s="342">
        <v>1</v>
      </c>
      <c r="F92" s="342">
        <v>0</v>
      </c>
      <c r="G92" s="342">
        <v>0</v>
      </c>
      <c r="H92" s="342">
        <v>0</v>
      </c>
      <c r="I92" s="342">
        <v>0</v>
      </c>
      <c r="J92" s="342">
        <v>0</v>
      </c>
      <c r="K92" s="342"/>
      <c r="L92" s="342" t="s">
        <v>678</v>
      </c>
      <c r="M92" s="342" t="s">
        <v>702</v>
      </c>
      <c r="N92" s="342" t="s">
        <v>904</v>
      </c>
      <c r="O92" s="342" t="s">
        <v>1039</v>
      </c>
      <c r="P92" s="342" t="s">
        <v>1040</v>
      </c>
      <c r="Q92" s="342" t="s">
        <v>1041</v>
      </c>
      <c r="R92" s="342"/>
      <c r="S92" s="342" t="s">
        <v>979</v>
      </c>
      <c r="T92" s="342" t="s">
        <v>980</v>
      </c>
      <c r="U92" s="342" t="s">
        <v>26</v>
      </c>
      <c r="V92" s="342" t="s">
        <v>702</v>
      </c>
      <c r="W92" s="342" t="s">
        <v>727</v>
      </c>
      <c r="X92" s="342">
        <f t="shared" si="1"/>
        <v>5</v>
      </c>
    </row>
    <row r="93" spans="1:24" ht="126" x14ac:dyDescent="0.3">
      <c r="A93" s="342" t="s">
        <v>168</v>
      </c>
      <c r="B93" s="342" t="s">
        <v>1042</v>
      </c>
      <c r="C93" s="342">
        <v>0</v>
      </c>
      <c r="D93" s="342">
        <v>0</v>
      </c>
      <c r="E93" s="342">
        <v>1</v>
      </c>
      <c r="F93" s="342">
        <v>0</v>
      </c>
      <c r="G93" s="342">
        <v>0</v>
      </c>
      <c r="H93" s="342">
        <v>0</v>
      </c>
      <c r="I93" s="342">
        <v>0</v>
      </c>
      <c r="J93" s="342">
        <v>0</v>
      </c>
      <c r="K93" s="342"/>
      <c r="L93" s="342" t="s">
        <v>678</v>
      </c>
      <c r="M93" s="342" t="s">
        <v>702</v>
      </c>
      <c r="N93" s="342" t="s">
        <v>904</v>
      </c>
      <c r="O93" s="342" t="s">
        <v>699</v>
      </c>
      <c r="P93" s="342" t="s">
        <v>1043</v>
      </c>
      <c r="Q93" s="342" t="s">
        <v>699</v>
      </c>
      <c r="R93" s="342"/>
      <c r="S93" s="342" t="s">
        <v>1031</v>
      </c>
      <c r="T93" s="342" t="s">
        <v>1044</v>
      </c>
      <c r="U93" s="342" t="s">
        <v>26</v>
      </c>
      <c r="V93" s="342" t="s">
        <v>702</v>
      </c>
      <c r="W93" s="342" t="s">
        <v>727</v>
      </c>
      <c r="X93" s="342">
        <f t="shared" si="1"/>
        <v>5</v>
      </c>
    </row>
    <row r="94" spans="1:24" ht="168" x14ac:dyDescent="0.3">
      <c r="A94" s="342" t="s">
        <v>169</v>
      </c>
      <c r="B94" s="342" t="s">
        <v>1045</v>
      </c>
      <c r="C94" s="342">
        <v>0</v>
      </c>
      <c r="D94" s="342">
        <v>0</v>
      </c>
      <c r="E94" s="342">
        <v>1</v>
      </c>
      <c r="F94" s="342">
        <v>0</v>
      </c>
      <c r="G94" s="342">
        <v>0</v>
      </c>
      <c r="H94" s="342">
        <v>0</v>
      </c>
      <c r="I94" s="342">
        <v>0</v>
      </c>
      <c r="J94" s="342">
        <v>1</v>
      </c>
      <c r="K94" s="342"/>
      <c r="L94" s="342" t="s">
        <v>678</v>
      </c>
      <c r="M94" s="342" t="s">
        <v>702</v>
      </c>
      <c r="N94" s="342" t="s">
        <v>904</v>
      </c>
      <c r="O94" s="342" t="s">
        <v>699</v>
      </c>
      <c r="P94" s="342" t="s">
        <v>1046</v>
      </c>
      <c r="Q94" s="342" t="s">
        <v>1047</v>
      </c>
      <c r="R94" s="342"/>
      <c r="S94" s="342" t="s">
        <v>1048</v>
      </c>
      <c r="T94" s="342" t="s">
        <v>1049</v>
      </c>
      <c r="U94" s="342" t="s">
        <v>26</v>
      </c>
      <c r="V94" s="342" t="s">
        <v>702</v>
      </c>
      <c r="W94" s="342" t="s">
        <v>727</v>
      </c>
      <c r="X94" s="342">
        <f t="shared" si="1"/>
        <v>5</v>
      </c>
    </row>
    <row r="95" spans="1:24" ht="56" x14ac:dyDescent="0.3">
      <c r="A95" s="342" t="s">
        <v>171</v>
      </c>
      <c r="B95" s="342" t="s">
        <v>1050</v>
      </c>
      <c r="C95" s="342">
        <v>0</v>
      </c>
      <c r="D95" s="342">
        <v>0</v>
      </c>
      <c r="E95" s="342">
        <v>1</v>
      </c>
      <c r="F95" s="342">
        <v>0</v>
      </c>
      <c r="G95" s="342">
        <v>0</v>
      </c>
      <c r="H95" s="342">
        <v>0</v>
      </c>
      <c r="I95" s="342">
        <v>0</v>
      </c>
      <c r="J95" s="342">
        <v>1</v>
      </c>
      <c r="K95" s="342"/>
      <c r="L95" s="342" t="s">
        <v>678</v>
      </c>
      <c r="M95" s="342" t="s">
        <v>702</v>
      </c>
      <c r="N95" s="342" t="s">
        <v>904</v>
      </c>
      <c r="O95" s="342" t="s">
        <v>699</v>
      </c>
      <c r="P95" s="342" t="s">
        <v>1051</v>
      </c>
      <c r="Q95" s="342" t="s">
        <v>1052</v>
      </c>
      <c r="R95" s="342"/>
      <c r="S95" s="342" t="s">
        <v>1053</v>
      </c>
      <c r="T95" s="342" t="s">
        <v>1054</v>
      </c>
      <c r="U95" s="342" t="s">
        <v>26</v>
      </c>
      <c r="V95" s="342" t="s">
        <v>702</v>
      </c>
      <c r="W95" s="342" t="s">
        <v>727</v>
      </c>
      <c r="X95" s="342">
        <f t="shared" si="1"/>
        <v>5</v>
      </c>
    </row>
    <row r="96" spans="1:24" ht="126" x14ac:dyDescent="0.3">
      <c r="A96" s="355" t="s">
        <v>79</v>
      </c>
      <c r="B96" s="354" t="s">
        <v>1055</v>
      </c>
      <c r="C96" s="342">
        <v>0</v>
      </c>
      <c r="D96" s="342">
        <v>1</v>
      </c>
      <c r="E96" s="342">
        <v>0</v>
      </c>
      <c r="F96" s="342">
        <v>0</v>
      </c>
      <c r="G96" s="342">
        <v>0</v>
      </c>
      <c r="H96" s="342">
        <v>0</v>
      </c>
      <c r="I96" s="342">
        <v>0</v>
      </c>
      <c r="J96" s="342">
        <v>0</v>
      </c>
      <c r="K96" s="342"/>
      <c r="L96" s="342" t="s">
        <v>767</v>
      </c>
      <c r="M96" s="342" t="s">
        <v>702</v>
      </c>
      <c r="N96" s="342" t="s">
        <v>699</v>
      </c>
      <c r="O96" s="342" t="s">
        <v>699</v>
      </c>
      <c r="P96" s="342" t="s">
        <v>1056</v>
      </c>
      <c r="Q96" s="342" t="s">
        <v>1057</v>
      </c>
      <c r="R96" s="342"/>
      <c r="S96" s="342" t="s">
        <v>1058</v>
      </c>
      <c r="T96" s="342" t="s">
        <v>1059</v>
      </c>
      <c r="U96" s="342" t="s">
        <v>26</v>
      </c>
      <c r="V96" s="342" t="s">
        <v>702</v>
      </c>
      <c r="W96" s="342" t="s">
        <v>769</v>
      </c>
      <c r="X96" s="342">
        <f t="shared" si="1"/>
        <v>20</v>
      </c>
    </row>
    <row r="97" spans="1:24" ht="168" x14ac:dyDescent="0.3">
      <c r="A97" s="355" t="s">
        <v>81</v>
      </c>
      <c r="B97" s="354" t="s">
        <v>1060</v>
      </c>
      <c r="C97" s="342">
        <v>0</v>
      </c>
      <c r="D97" s="342">
        <v>1</v>
      </c>
      <c r="E97" s="342">
        <v>0</v>
      </c>
      <c r="F97" s="342">
        <v>0</v>
      </c>
      <c r="G97" s="342">
        <v>0</v>
      </c>
      <c r="H97" s="342">
        <v>0</v>
      </c>
      <c r="I97" s="342">
        <v>0</v>
      </c>
      <c r="J97" s="342">
        <v>0</v>
      </c>
      <c r="K97" s="342"/>
      <c r="L97" s="342" t="s">
        <v>767</v>
      </c>
      <c r="M97" s="342" t="s">
        <v>702</v>
      </c>
      <c r="N97" s="342" t="s">
        <v>699</v>
      </c>
      <c r="O97" s="342" t="s">
        <v>1061</v>
      </c>
      <c r="P97" s="342" t="s">
        <v>1062</v>
      </c>
      <c r="Q97" s="342" t="s">
        <v>1063</v>
      </c>
      <c r="R97" s="350" t="s">
        <v>867</v>
      </c>
      <c r="S97" s="342" t="s">
        <v>1064</v>
      </c>
      <c r="T97" s="342" t="s">
        <v>1065</v>
      </c>
      <c r="U97" s="342" t="s">
        <v>26</v>
      </c>
      <c r="V97" s="342" t="s">
        <v>702</v>
      </c>
      <c r="W97" s="342" t="s">
        <v>769</v>
      </c>
      <c r="X97" s="342">
        <f t="shared" si="1"/>
        <v>20</v>
      </c>
    </row>
    <row r="98" spans="1:24" ht="210" x14ac:dyDescent="0.3">
      <c r="A98" s="355" t="s">
        <v>83</v>
      </c>
      <c r="B98" s="354" t="s">
        <v>1066</v>
      </c>
      <c r="C98" s="342">
        <v>0</v>
      </c>
      <c r="D98" s="342">
        <v>1</v>
      </c>
      <c r="E98" s="342">
        <v>0</v>
      </c>
      <c r="F98" s="342">
        <v>0</v>
      </c>
      <c r="G98" s="342">
        <v>0</v>
      </c>
      <c r="H98" s="342">
        <v>0</v>
      </c>
      <c r="I98" s="342">
        <v>0</v>
      </c>
      <c r="J98" s="342">
        <v>0</v>
      </c>
      <c r="K98" s="342"/>
      <c r="L98" s="342" t="s">
        <v>767</v>
      </c>
      <c r="M98" s="342" t="s">
        <v>702</v>
      </c>
      <c r="N98" s="342" t="s">
        <v>699</v>
      </c>
      <c r="O98" s="342" t="s">
        <v>699</v>
      </c>
      <c r="P98" s="342" t="s">
        <v>1067</v>
      </c>
      <c r="Q98" s="342" t="s">
        <v>1068</v>
      </c>
      <c r="R98" s="350" t="s">
        <v>867</v>
      </c>
      <c r="S98" s="342" t="s">
        <v>1069</v>
      </c>
      <c r="T98" s="342" t="s">
        <v>1070</v>
      </c>
      <c r="U98" s="342" t="s">
        <v>26</v>
      </c>
      <c r="V98" s="342" t="s">
        <v>702</v>
      </c>
      <c r="W98" s="342" t="s">
        <v>769</v>
      </c>
      <c r="X98" s="342">
        <f t="shared" si="1"/>
        <v>20</v>
      </c>
    </row>
    <row r="99" spans="1:24" ht="140" x14ac:dyDescent="0.3">
      <c r="A99" s="221" t="s">
        <v>85</v>
      </c>
      <c r="B99" s="342" t="s">
        <v>1071</v>
      </c>
      <c r="C99" s="342">
        <v>0</v>
      </c>
      <c r="D99" s="342">
        <v>1</v>
      </c>
      <c r="E99" s="342">
        <v>0</v>
      </c>
      <c r="F99" s="342">
        <v>0</v>
      </c>
      <c r="G99" s="342">
        <v>0</v>
      </c>
      <c r="H99" s="342">
        <v>0</v>
      </c>
      <c r="I99" s="342">
        <v>0</v>
      </c>
      <c r="J99" s="342">
        <v>1</v>
      </c>
      <c r="K99" s="342"/>
      <c r="L99" s="342" t="s">
        <v>767</v>
      </c>
      <c r="M99" s="342" t="s">
        <v>22</v>
      </c>
      <c r="N99" s="342" t="s">
        <v>699</v>
      </c>
      <c r="O99" s="342" t="s">
        <v>699</v>
      </c>
      <c r="P99" s="342" t="s">
        <v>792</v>
      </c>
      <c r="Q99" s="342" t="s">
        <v>1072</v>
      </c>
      <c r="R99" s="342"/>
      <c r="S99" s="342" t="s">
        <v>1073</v>
      </c>
      <c r="T99" s="342" t="s">
        <v>1074</v>
      </c>
      <c r="U99" s="342" t="s">
        <v>26</v>
      </c>
      <c r="V99" s="342" t="s">
        <v>702</v>
      </c>
      <c r="W99" s="342" t="s">
        <v>718</v>
      </c>
      <c r="X99" s="342">
        <f t="shared" si="1"/>
        <v>10</v>
      </c>
    </row>
    <row r="100" spans="1:24" ht="232.5" customHeight="1" x14ac:dyDescent="0.3">
      <c r="A100" s="221" t="s">
        <v>87</v>
      </c>
      <c r="B100" s="342" t="s">
        <v>1075</v>
      </c>
      <c r="C100" s="342">
        <v>0</v>
      </c>
      <c r="D100" s="342">
        <v>1</v>
      </c>
      <c r="E100" s="342">
        <v>0</v>
      </c>
      <c r="F100" s="342">
        <v>0</v>
      </c>
      <c r="G100" s="342">
        <v>0</v>
      </c>
      <c r="H100" s="342">
        <v>0</v>
      </c>
      <c r="I100" s="342">
        <v>0</v>
      </c>
      <c r="J100" s="342">
        <v>1</v>
      </c>
      <c r="K100" s="342"/>
      <c r="L100" s="342" t="s">
        <v>767</v>
      </c>
      <c r="M100" s="342" t="s">
        <v>702</v>
      </c>
      <c r="N100" s="342" t="s">
        <v>699</v>
      </c>
      <c r="O100" s="342" t="s">
        <v>699</v>
      </c>
      <c r="P100" s="342" t="s">
        <v>1076</v>
      </c>
      <c r="Q100" s="342" t="s">
        <v>1077</v>
      </c>
      <c r="R100" s="342"/>
      <c r="S100" s="342" t="s">
        <v>1078</v>
      </c>
      <c r="T100" s="342" t="s">
        <v>1079</v>
      </c>
      <c r="U100" s="342" t="s">
        <v>26</v>
      </c>
      <c r="V100" s="342" t="s">
        <v>702</v>
      </c>
      <c r="W100" s="342" t="s">
        <v>718</v>
      </c>
      <c r="X100" s="342">
        <f t="shared" si="1"/>
        <v>10</v>
      </c>
    </row>
    <row r="101" spans="1:24" ht="139.5" customHeight="1" x14ac:dyDescent="0.3">
      <c r="A101" s="221" t="s">
        <v>89</v>
      </c>
      <c r="B101" s="342" t="s">
        <v>1080</v>
      </c>
      <c r="C101" s="342">
        <v>0</v>
      </c>
      <c r="D101" s="342">
        <v>1</v>
      </c>
      <c r="E101" s="342">
        <v>0</v>
      </c>
      <c r="F101" s="342">
        <v>0</v>
      </c>
      <c r="G101" s="342">
        <v>0</v>
      </c>
      <c r="H101" s="342">
        <v>0</v>
      </c>
      <c r="I101" s="342">
        <v>0</v>
      </c>
      <c r="J101" s="342">
        <v>0</v>
      </c>
      <c r="K101" s="342"/>
      <c r="L101" s="342" t="s">
        <v>767</v>
      </c>
      <c r="M101" s="342" t="s">
        <v>702</v>
      </c>
      <c r="N101" s="342" t="s">
        <v>699</v>
      </c>
      <c r="O101" s="342" t="s">
        <v>699</v>
      </c>
      <c r="P101" s="342" t="s">
        <v>1081</v>
      </c>
      <c r="Q101" s="342" t="s">
        <v>1082</v>
      </c>
      <c r="R101" s="342"/>
      <c r="S101" s="342" t="s">
        <v>1083</v>
      </c>
      <c r="T101" s="342" t="s">
        <v>1084</v>
      </c>
      <c r="U101" s="342" t="s">
        <v>26</v>
      </c>
      <c r="V101" s="342" t="s">
        <v>702</v>
      </c>
      <c r="W101" s="342" t="s">
        <v>718</v>
      </c>
      <c r="X101" s="342">
        <f t="shared" si="1"/>
        <v>10</v>
      </c>
    </row>
    <row r="102" spans="1:24" ht="98" x14ac:dyDescent="0.3">
      <c r="A102" s="221" t="s">
        <v>90</v>
      </c>
      <c r="B102" s="342" t="s">
        <v>1085</v>
      </c>
      <c r="C102" s="342">
        <v>0</v>
      </c>
      <c r="D102" s="342">
        <v>1</v>
      </c>
      <c r="E102" s="342">
        <v>0</v>
      </c>
      <c r="F102" s="342">
        <v>0</v>
      </c>
      <c r="G102" s="342">
        <v>0</v>
      </c>
      <c r="H102" s="342">
        <v>0</v>
      </c>
      <c r="I102" s="342">
        <v>0</v>
      </c>
      <c r="J102" s="342">
        <v>0</v>
      </c>
      <c r="K102" s="342"/>
      <c r="L102" s="342" t="s">
        <v>767</v>
      </c>
      <c r="M102" s="342" t="s">
        <v>702</v>
      </c>
      <c r="N102" s="342" t="s">
        <v>699</v>
      </c>
      <c r="O102" s="342" t="s">
        <v>699</v>
      </c>
      <c r="P102" s="342" t="s">
        <v>1086</v>
      </c>
      <c r="Q102" s="342" t="s">
        <v>1087</v>
      </c>
      <c r="R102" s="342"/>
      <c r="S102" s="342" t="s">
        <v>1088</v>
      </c>
      <c r="T102" s="342" t="s">
        <v>1089</v>
      </c>
      <c r="U102" s="342" t="s">
        <v>26</v>
      </c>
      <c r="V102" s="342" t="s">
        <v>702</v>
      </c>
      <c r="W102" s="342" t="s">
        <v>718</v>
      </c>
      <c r="X102" s="342">
        <f t="shared" si="1"/>
        <v>10</v>
      </c>
    </row>
    <row r="103" spans="1:24" ht="214.5" customHeight="1" x14ac:dyDescent="0.3">
      <c r="A103" s="221" t="s">
        <v>91</v>
      </c>
      <c r="B103" s="342" t="s">
        <v>1090</v>
      </c>
      <c r="C103" s="342">
        <v>0</v>
      </c>
      <c r="D103" s="342">
        <v>1</v>
      </c>
      <c r="E103" s="342">
        <v>0</v>
      </c>
      <c r="F103" s="342">
        <v>0</v>
      </c>
      <c r="G103" s="342">
        <v>0</v>
      </c>
      <c r="H103" s="342">
        <v>0</v>
      </c>
      <c r="I103" s="342">
        <v>0</v>
      </c>
      <c r="J103" s="342">
        <v>0</v>
      </c>
      <c r="K103" s="342"/>
      <c r="L103" s="342" t="s">
        <v>767</v>
      </c>
      <c r="M103" s="342" t="s">
        <v>702</v>
      </c>
      <c r="N103" s="342" t="s">
        <v>699</v>
      </c>
      <c r="O103" s="342" t="s">
        <v>699</v>
      </c>
      <c r="P103" s="342" t="s">
        <v>1091</v>
      </c>
      <c r="Q103" s="342" t="s">
        <v>1092</v>
      </c>
      <c r="R103" s="342"/>
      <c r="S103" s="342" t="s">
        <v>1093</v>
      </c>
      <c r="T103" s="342" t="s">
        <v>1094</v>
      </c>
      <c r="U103" s="342" t="s">
        <v>26</v>
      </c>
      <c r="V103" s="342" t="s">
        <v>702</v>
      </c>
      <c r="W103" s="342" t="s">
        <v>718</v>
      </c>
      <c r="X103" s="342">
        <f t="shared" si="1"/>
        <v>10</v>
      </c>
    </row>
    <row r="104" spans="1:24" ht="244.5" customHeight="1" x14ac:dyDescent="0.3">
      <c r="A104" s="221" t="s">
        <v>93</v>
      </c>
      <c r="B104" s="342" t="s">
        <v>1095</v>
      </c>
      <c r="C104" s="342">
        <v>0</v>
      </c>
      <c r="D104" s="342">
        <v>1</v>
      </c>
      <c r="E104" s="342">
        <v>0</v>
      </c>
      <c r="F104" s="342">
        <v>0</v>
      </c>
      <c r="G104" s="342">
        <v>0</v>
      </c>
      <c r="H104" s="342">
        <v>0</v>
      </c>
      <c r="I104" s="342">
        <v>0</v>
      </c>
      <c r="J104" s="342">
        <v>0</v>
      </c>
      <c r="K104" s="342"/>
      <c r="L104" s="342" t="s">
        <v>767</v>
      </c>
      <c r="M104" s="342" t="s">
        <v>702</v>
      </c>
      <c r="N104" s="342" t="s">
        <v>699</v>
      </c>
      <c r="O104" s="342" t="s">
        <v>699</v>
      </c>
      <c r="P104" s="342" t="s">
        <v>1096</v>
      </c>
      <c r="Q104" s="342" t="s">
        <v>1097</v>
      </c>
      <c r="R104" s="350" t="s">
        <v>867</v>
      </c>
      <c r="S104" s="342" t="s">
        <v>1098</v>
      </c>
      <c r="T104" s="342" t="s">
        <v>1099</v>
      </c>
      <c r="U104" s="342" t="s">
        <v>26</v>
      </c>
      <c r="V104" s="342" t="s">
        <v>702</v>
      </c>
      <c r="W104" s="342" t="s">
        <v>727</v>
      </c>
      <c r="X104" s="342">
        <f t="shared" si="1"/>
        <v>5</v>
      </c>
    </row>
    <row r="105" spans="1:24" ht="112" x14ac:dyDescent="0.3">
      <c r="A105" s="221" t="s">
        <v>95</v>
      </c>
      <c r="B105" s="342" t="s">
        <v>1100</v>
      </c>
      <c r="C105" s="342">
        <v>0</v>
      </c>
      <c r="D105" s="342">
        <v>1</v>
      </c>
      <c r="E105" s="342">
        <v>0</v>
      </c>
      <c r="F105" s="342">
        <v>0</v>
      </c>
      <c r="G105" s="342">
        <v>0</v>
      </c>
      <c r="H105" s="342">
        <v>0</v>
      </c>
      <c r="I105" s="342">
        <v>0</v>
      </c>
      <c r="J105" s="342">
        <v>0</v>
      </c>
      <c r="K105" s="342"/>
      <c r="L105" s="342" t="s">
        <v>767</v>
      </c>
      <c r="M105" s="342" t="s">
        <v>702</v>
      </c>
      <c r="N105" s="342" t="s">
        <v>699</v>
      </c>
      <c r="O105" s="342" t="s">
        <v>1101</v>
      </c>
      <c r="P105" s="342" t="s">
        <v>1102</v>
      </c>
      <c r="Q105" s="342" t="s">
        <v>1103</v>
      </c>
      <c r="R105" s="350" t="s">
        <v>867</v>
      </c>
      <c r="S105" s="342" t="s">
        <v>1104</v>
      </c>
      <c r="T105" s="342" t="s">
        <v>1105</v>
      </c>
      <c r="U105" s="342" t="s">
        <v>26</v>
      </c>
      <c r="V105" s="342" t="s">
        <v>702</v>
      </c>
      <c r="W105" s="342" t="s">
        <v>727</v>
      </c>
      <c r="X105" s="342">
        <f t="shared" si="1"/>
        <v>5</v>
      </c>
    </row>
    <row r="106" spans="1:24" ht="112" x14ac:dyDescent="0.3">
      <c r="A106" s="221" t="s">
        <v>97</v>
      </c>
      <c r="B106" s="342" t="s">
        <v>1106</v>
      </c>
      <c r="C106" s="342">
        <v>0</v>
      </c>
      <c r="D106" s="342">
        <v>1</v>
      </c>
      <c r="E106" s="342">
        <v>0</v>
      </c>
      <c r="F106" s="342">
        <v>0</v>
      </c>
      <c r="G106" s="342">
        <v>0</v>
      </c>
      <c r="H106" s="342">
        <v>0</v>
      </c>
      <c r="I106" s="342">
        <v>0</v>
      </c>
      <c r="J106" s="342">
        <v>0</v>
      </c>
      <c r="K106" s="342"/>
      <c r="L106" s="342" t="s">
        <v>767</v>
      </c>
      <c r="M106" s="342" t="s">
        <v>702</v>
      </c>
      <c r="N106" s="342" t="s">
        <v>699</v>
      </c>
      <c r="O106" s="342" t="s">
        <v>699</v>
      </c>
      <c r="P106" s="342" t="s">
        <v>1107</v>
      </c>
      <c r="Q106" s="342" t="s">
        <v>1108</v>
      </c>
      <c r="R106" s="350" t="s">
        <v>867</v>
      </c>
      <c r="S106" s="342" t="s">
        <v>1109</v>
      </c>
      <c r="T106" s="342" t="s">
        <v>1110</v>
      </c>
      <c r="U106" s="342" t="s">
        <v>26</v>
      </c>
      <c r="V106" s="342" t="s">
        <v>702</v>
      </c>
      <c r="W106" s="342" t="s">
        <v>727</v>
      </c>
      <c r="X106" s="342">
        <f t="shared" si="1"/>
        <v>5</v>
      </c>
    </row>
    <row r="107" spans="1:24" ht="84" x14ac:dyDescent="0.3">
      <c r="A107" s="221" t="s">
        <v>99</v>
      </c>
      <c r="B107" s="342" t="s">
        <v>1111</v>
      </c>
      <c r="C107" s="342">
        <v>0</v>
      </c>
      <c r="D107" s="342">
        <v>1</v>
      </c>
      <c r="E107" s="342">
        <v>0</v>
      </c>
      <c r="F107" s="342">
        <v>0</v>
      </c>
      <c r="G107" s="342">
        <v>0</v>
      </c>
      <c r="H107" s="342">
        <v>0</v>
      </c>
      <c r="I107" s="342">
        <v>0</v>
      </c>
      <c r="J107" s="342">
        <v>0</v>
      </c>
      <c r="K107" s="342"/>
      <c r="L107" s="342" t="s">
        <v>767</v>
      </c>
      <c r="M107" s="342" t="s">
        <v>702</v>
      </c>
      <c r="N107" s="342" t="s">
        <v>699</v>
      </c>
      <c r="O107" s="342" t="s">
        <v>699</v>
      </c>
      <c r="P107" s="342" t="s">
        <v>1112</v>
      </c>
      <c r="Q107" s="342" t="s">
        <v>1113</v>
      </c>
      <c r="R107" s="343" t="s">
        <v>867</v>
      </c>
      <c r="S107" s="342" t="s">
        <v>1114</v>
      </c>
      <c r="T107" s="342" t="s">
        <v>1115</v>
      </c>
      <c r="U107" s="342" t="s">
        <v>26</v>
      </c>
      <c r="V107" s="342" t="s">
        <v>702</v>
      </c>
      <c r="W107" s="342" t="s">
        <v>727</v>
      </c>
      <c r="X107" s="342">
        <f t="shared" si="1"/>
        <v>5</v>
      </c>
    </row>
    <row r="108" spans="1:24" ht="276.75" customHeight="1" x14ac:dyDescent="0.3">
      <c r="A108" s="221" t="s">
        <v>101</v>
      </c>
      <c r="B108" s="342" t="s">
        <v>1116</v>
      </c>
      <c r="C108" s="342">
        <v>0</v>
      </c>
      <c r="D108" s="342">
        <v>1</v>
      </c>
      <c r="E108" s="342">
        <v>0</v>
      </c>
      <c r="F108" s="342">
        <v>0</v>
      </c>
      <c r="G108" s="342">
        <v>0</v>
      </c>
      <c r="H108" s="342">
        <v>0</v>
      </c>
      <c r="I108" s="342">
        <v>0</v>
      </c>
      <c r="J108" s="342">
        <v>0</v>
      </c>
      <c r="K108" s="342"/>
      <c r="L108" s="342" t="s">
        <v>767</v>
      </c>
      <c r="M108" s="342" t="s">
        <v>702</v>
      </c>
      <c r="N108" s="342" t="s">
        <v>699</v>
      </c>
      <c r="O108" s="342" t="s">
        <v>699</v>
      </c>
      <c r="P108" s="342" t="s">
        <v>1117</v>
      </c>
      <c r="Q108" s="342" t="s">
        <v>699</v>
      </c>
      <c r="R108" s="342"/>
      <c r="S108" s="342" t="s">
        <v>1118</v>
      </c>
      <c r="T108" s="342" t="s">
        <v>1119</v>
      </c>
      <c r="U108" s="342" t="s">
        <v>26</v>
      </c>
      <c r="V108" s="342" t="s">
        <v>702</v>
      </c>
      <c r="W108" s="342" t="s">
        <v>727</v>
      </c>
      <c r="X108" s="342">
        <f t="shared" si="1"/>
        <v>5</v>
      </c>
    </row>
    <row r="109" spans="1:24" ht="174" customHeight="1" x14ac:dyDescent="0.3">
      <c r="A109" s="221" t="s">
        <v>103</v>
      </c>
      <c r="B109" s="342" t="s">
        <v>1120</v>
      </c>
      <c r="C109" s="342">
        <v>0</v>
      </c>
      <c r="D109" s="342">
        <v>1</v>
      </c>
      <c r="E109" s="342">
        <v>0</v>
      </c>
      <c r="F109" s="342">
        <v>0</v>
      </c>
      <c r="G109" s="342">
        <v>0</v>
      </c>
      <c r="H109" s="342">
        <v>0</v>
      </c>
      <c r="I109" s="342">
        <v>0</v>
      </c>
      <c r="J109" s="342">
        <v>0</v>
      </c>
      <c r="K109" s="342"/>
      <c r="L109" s="342" t="s">
        <v>767</v>
      </c>
      <c r="M109" s="342" t="s">
        <v>702</v>
      </c>
      <c r="N109" s="342" t="s">
        <v>699</v>
      </c>
      <c r="O109" s="342" t="s">
        <v>699</v>
      </c>
      <c r="P109" s="342" t="s">
        <v>1121</v>
      </c>
      <c r="Q109" s="342" t="s">
        <v>1122</v>
      </c>
      <c r="R109" s="342"/>
      <c r="S109" s="342" t="s">
        <v>1123</v>
      </c>
      <c r="T109" s="342" t="s">
        <v>1079</v>
      </c>
      <c r="U109" s="342" t="s">
        <v>26</v>
      </c>
      <c r="V109" s="342" t="s">
        <v>702</v>
      </c>
      <c r="W109" s="342" t="s">
        <v>727</v>
      </c>
      <c r="X109" s="342">
        <f t="shared" si="1"/>
        <v>5</v>
      </c>
    </row>
    <row r="110" spans="1:24" ht="140" x14ac:dyDescent="0.3">
      <c r="A110" s="221" t="s">
        <v>105</v>
      </c>
      <c r="B110" s="342" t="s">
        <v>1124</v>
      </c>
      <c r="C110" s="342">
        <v>0</v>
      </c>
      <c r="D110" s="342">
        <v>1</v>
      </c>
      <c r="E110" s="342">
        <v>0</v>
      </c>
      <c r="F110" s="342">
        <v>0</v>
      </c>
      <c r="G110" s="342">
        <v>0</v>
      </c>
      <c r="H110" s="342">
        <v>0</v>
      </c>
      <c r="I110" s="342">
        <v>0</v>
      </c>
      <c r="J110" s="342">
        <v>0</v>
      </c>
      <c r="K110" s="342"/>
      <c r="L110" s="342" t="s">
        <v>767</v>
      </c>
      <c r="M110" s="342" t="s">
        <v>702</v>
      </c>
      <c r="N110" s="342" t="s">
        <v>699</v>
      </c>
      <c r="O110" s="342" t="s">
        <v>699</v>
      </c>
      <c r="P110" s="342" t="s">
        <v>1125</v>
      </c>
      <c r="Q110" s="342" t="s">
        <v>1126</v>
      </c>
      <c r="R110" s="342"/>
      <c r="S110" s="342" t="s">
        <v>1127</v>
      </c>
      <c r="T110" s="342" t="s">
        <v>1128</v>
      </c>
      <c r="U110" s="342" t="s">
        <v>26</v>
      </c>
      <c r="V110" s="342" t="s">
        <v>702</v>
      </c>
      <c r="W110" s="342" t="s">
        <v>727</v>
      </c>
      <c r="X110" s="342">
        <f t="shared" si="1"/>
        <v>5</v>
      </c>
    </row>
    <row r="111" spans="1:24" ht="210" x14ac:dyDescent="0.3">
      <c r="A111" s="221" t="s">
        <v>107</v>
      </c>
      <c r="B111" s="342" t="s">
        <v>1129</v>
      </c>
      <c r="C111" s="342">
        <v>0</v>
      </c>
      <c r="D111" s="342">
        <v>1</v>
      </c>
      <c r="E111" s="342">
        <v>0</v>
      </c>
      <c r="F111" s="342">
        <v>0</v>
      </c>
      <c r="G111" s="342">
        <v>0</v>
      </c>
      <c r="H111" s="342">
        <v>0</v>
      </c>
      <c r="I111" s="342">
        <v>0</v>
      </c>
      <c r="J111" s="342">
        <v>0</v>
      </c>
      <c r="K111" s="342"/>
      <c r="L111" s="342" t="s">
        <v>767</v>
      </c>
      <c r="M111" s="342" t="s">
        <v>702</v>
      </c>
      <c r="N111" s="342" t="s">
        <v>699</v>
      </c>
      <c r="O111" s="342" t="s">
        <v>699</v>
      </c>
      <c r="P111" s="342" t="s">
        <v>1130</v>
      </c>
      <c r="Q111" s="342" t="s">
        <v>1131</v>
      </c>
      <c r="R111" s="342"/>
      <c r="S111" s="342" t="s">
        <v>868</v>
      </c>
      <c r="T111" s="342" t="s">
        <v>869</v>
      </c>
      <c r="U111" s="342" t="s">
        <v>26</v>
      </c>
      <c r="V111" s="342" t="s">
        <v>702</v>
      </c>
      <c r="W111" s="342" t="s">
        <v>727</v>
      </c>
      <c r="X111" s="342">
        <f t="shared" si="1"/>
        <v>5</v>
      </c>
    </row>
    <row r="112" spans="1:24" ht="126" x14ac:dyDescent="0.3">
      <c r="A112" s="354" t="s">
        <v>173</v>
      </c>
      <c r="B112" s="354" t="s">
        <v>1132</v>
      </c>
      <c r="C112" s="342">
        <v>0</v>
      </c>
      <c r="D112" s="342">
        <v>0</v>
      </c>
      <c r="E112" s="342">
        <v>1</v>
      </c>
      <c r="F112" s="342">
        <v>0</v>
      </c>
      <c r="G112" s="342">
        <v>0</v>
      </c>
      <c r="H112" s="342">
        <v>0</v>
      </c>
      <c r="I112" s="342">
        <v>0</v>
      </c>
      <c r="J112" s="342">
        <v>0</v>
      </c>
      <c r="K112" s="342"/>
      <c r="L112" s="342" t="s">
        <v>678</v>
      </c>
      <c r="M112" s="342" t="s">
        <v>702</v>
      </c>
      <c r="N112" s="342" t="s">
        <v>904</v>
      </c>
      <c r="O112" s="342" t="s">
        <v>699</v>
      </c>
      <c r="P112" s="342" t="s">
        <v>699</v>
      </c>
      <c r="Q112" s="342" t="s">
        <v>1133</v>
      </c>
      <c r="R112" s="342"/>
      <c r="S112" s="342" t="s">
        <v>1134</v>
      </c>
      <c r="T112" s="342" t="s">
        <v>1135</v>
      </c>
      <c r="U112" s="342" t="s">
        <v>46</v>
      </c>
      <c r="V112" s="342" t="s">
        <v>702</v>
      </c>
      <c r="W112" s="342" t="s">
        <v>769</v>
      </c>
      <c r="X112" s="342">
        <f t="shared" si="1"/>
        <v>20</v>
      </c>
    </row>
    <row r="113" spans="1:24" ht="98" x14ac:dyDescent="0.3">
      <c r="A113" s="354" t="s">
        <v>175</v>
      </c>
      <c r="B113" s="354" t="s">
        <v>1136</v>
      </c>
      <c r="C113" s="342">
        <v>0</v>
      </c>
      <c r="D113" s="342">
        <v>0</v>
      </c>
      <c r="E113" s="342">
        <v>1</v>
      </c>
      <c r="F113" s="342">
        <v>0</v>
      </c>
      <c r="G113" s="342">
        <v>0</v>
      </c>
      <c r="H113" s="342">
        <v>0</v>
      </c>
      <c r="I113" s="342">
        <v>0</v>
      </c>
      <c r="J113" s="342">
        <v>1</v>
      </c>
      <c r="K113" s="342"/>
      <c r="L113" s="342" t="s">
        <v>678</v>
      </c>
      <c r="M113" s="342" t="s">
        <v>702</v>
      </c>
      <c r="N113" s="342" t="s">
        <v>904</v>
      </c>
      <c r="O113" s="342" t="s">
        <v>699</v>
      </c>
      <c r="P113" s="342" t="s">
        <v>1137</v>
      </c>
      <c r="Q113" s="342" t="s">
        <v>1138</v>
      </c>
      <c r="R113" s="342"/>
      <c r="S113" s="342" t="s">
        <v>1139</v>
      </c>
      <c r="T113" s="342" t="s">
        <v>1140</v>
      </c>
      <c r="U113" s="342" t="s">
        <v>26</v>
      </c>
      <c r="V113" s="342" t="s">
        <v>702</v>
      </c>
      <c r="W113" s="342" t="s">
        <v>769</v>
      </c>
      <c r="X113" s="342">
        <f t="shared" si="1"/>
        <v>20</v>
      </c>
    </row>
    <row r="114" spans="1:24" ht="112" x14ac:dyDescent="0.3">
      <c r="A114" s="354" t="s">
        <v>177</v>
      </c>
      <c r="B114" s="354" t="s">
        <v>1141</v>
      </c>
      <c r="C114" s="342">
        <v>0</v>
      </c>
      <c r="D114" s="342">
        <v>0</v>
      </c>
      <c r="E114" s="342">
        <v>1</v>
      </c>
      <c r="F114" s="342">
        <v>0</v>
      </c>
      <c r="G114" s="342">
        <v>0</v>
      </c>
      <c r="H114" s="342">
        <v>0</v>
      </c>
      <c r="I114" s="342">
        <v>0</v>
      </c>
      <c r="J114" s="342">
        <v>1</v>
      </c>
      <c r="K114" s="342"/>
      <c r="L114" s="342" t="s">
        <v>678</v>
      </c>
      <c r="M114" s="342" t="s">
        <v>702</v>
      </c>
      <c r="N114" s="342" t="s">
        <v>904</v>
      </c>
      <c r="O114" s="342" t="s">
        <v>699</v>
      </c>
      <c r="P114" s="342" t="s">
        <v>1142</v>
      </c>
      <c r="Q114" s="342" t="s">
        <v>1143</v>
      </c>
      <c r="R114" s="342"/>
      <c r="S114" s="342" t="s">
        <v>1144</v>
      </c>
      <c r="T114" s="342" t="s">
        <v>1145</v>
      </c>
      <c r="U114" s="342" t="s">
        <v>26</v>
      </c>
      <c r="V114" s="342" t="s">
        <v>702</v>
      </c>
      <c r="W114" s="342" t="s">
        <v>769</v>
      </c>
      <c r="X114" s="342">
        <f t="shared" si="1"/>
        <v>20</v>
      </c>
    </row>
    <row r="115" spans="1:24" ht="168" x14ac:dyDescent="0.3">
      <c r="A115" s="354" t="s">
        <v>179</v>
      </c>
      <c r="B115" s="354" t="s">
        <v>1146</v>
      </c>
      <c r="C115" s="342">
        <v>0</v>
      </c>
      <c r="D115" s="342">
        <v>0</v>
      </c>
      <c r="E115" s="342">
        <v>1</v>
      </c>
      <c r="F115" s="342">
        <v>0</v>
      </c>
      <c r="G115" s="342">
        <v>0</v>
      </c>
      <c r="H115" s="342">
        <v>0</v>
      </c>
      <c r="I115" s="342">
        <v>0</v>
      </c>
      <c r="J115" s="342">
        <v>0</v>
      </c>
      <c r="K115" s="342"/>
      <c r="L115" s="342" t="s">
        <v>678</v>
      </c>
      <c r="M115" s="342" t="s">
        <v>702</v>
      </c>
      <c r="N115" s="342" t="s">
        <v>904</v>
      </c>
      <c r="O115" s="342" t="s">
        <v>699</v>
      </c>
      <c r="P115" s="342" t="s">
        <v>1147</v>
      </c>
      <c r="Q115" s="342" t="s">
        <v>1148</v>
      </c>
      <c r="R115" s="342"/>
      <c r="S115" s="342" t="s">
        <v>1149</v>
      </c>
      <c r="T115" s="342" t="s">
        <v>1150</v>
      </c>
      <c r="U115" s="342" t="s">
        <v>26</v>
      </c>
      <c r="V115" s="342" t="s">
        <v>702</v>
      </c>
      <c r="W115" s="342" t="s">
        <v>769</v>
      </c>
      <c r="X115" s="342">
        <f t="shared" si="1"/>
        <v>20</v>
      </c>
    </row>
    <row r="116" spans="1:24" ht="140" x14ac:dyDescent="0.3">
      <c r="A116" s="354" t="s">
        <v>181</v>
      </c>
      <c r="B116" s="354" t="s">
        <v>1151</v>
      </c>
      <c r="C116" s="342">
        <v>0</v>
      </c>
      <c r="D116" s="342">
        <v>0</v>
      </c>
      <c r="E116" s="342">
        <v>1</v>
      </c>
      <c r="F116" s="342">
        <v>0</v>
      </c>
      <c r="G116" s="342">
        <v>0</v>
      </c>
      <c r="H116" s="342">
        <v>0</v>
      </c>
      <c r="I116" s="342">
        <v>0</v>
      </c>
      <c r="J116" s="342">
        <v>1</v>
      </c>
      <c r="K116" s="342"/>
      <c r="L116" s="342" t="s">
        <v>678</v>
      </c>
      <c r="M116" s="342" t="s">
        <v>702</v>
      </c>
      <c r="N116" s="342" t="s">
        <v>904</v>
      </c>
      <c r="O116" s="342" t="s">
        <v>699</v>
      </c>
      <c r="P116" s="342" t="s">
        <v>1152</v>
      </c>
      <c r="Q116" s="342" t="s">
        <v>1153</v>
      </c>
      <c r="R116" s="342"/>
      <c r="S116" s="342" t="s">
        <v>1154</v>
      </c>
      <c r="T116" s="342" t="s">
        <v>1155</v>
      </c>
      <c r="U116" s="342" t="s">
        <v>26</v>
      </c>
      <c r="V116" s="342" t="s">
        <v>702</v>
      </c>
      <c r="W116" s="342" t="s">
        <v>769</v>
      </c>
      <c r="X116" s="342">
        <f t="shared" si="1"/>
        <v>20</v>
      </c>
    </row>
    <row r="117" spans="1:24" ht="126" x14ac:dyDescent="0.3">
      <c r="A117" s="354" t="s">
        <v>183</v>
      </c>
      <c r="B117" s="354" t="s">
        <v>1156</v>
      </c>
      <c r="C117" s="342">
        <v>0</v>
      </c>
      <c r="D117" s="342">
        <v>0</v>
      </c>
      <c r="E117" s="342">
        <v>1</v>
      </c>
      <c r="F117" s="342">
        <v>0</v>
      </c>
      <c r="G117" s="342">
        <v>0</v>
      </c>
      <c r="H117" s="342">
        <v>0</v>
      </c>
      <c r="I117" s="342">
        <v>0</v>
      </c>
      <c r="J117" s="342">
        <v>1</v>
      </c>
      <c r="K117" s="342"/>
      <c r="L117" s="342" t="s">
        <v>678</v>
      </c>
      <c r="M117" s="342" t="s">
        <v>702</v>
      </c>
      <c r="N117" s="342" t="s">
        <v>904</v>
      </c>
      <c r="O117" s="342" t="s">
        <v>699</v>
      </c>
      <c r="P117" s="342" t="s">
        <v>1157</v>
      </c>
      <c r="Q117" s="342" t="s">
        <v>1158</v>
      </c>
      <c r="R117" s="342"/>
      <c r="S117" s="342" t="s">
        <v>1159</v>
      </c>
      <c r="T117" s="342" t="s">
        <v>1160</v>
      </c>
      <c r="U117" s="342" t="s">
        <v>26</v>
      </c>
      <c r="V117" s="342" t="s">
        <v>702</v>
      </c>
      <c r="W117" s="342" t="s">
        <v>769</v>
      </c>
      <c r="X117" s="342">
        <f t="shared" si="1"/>
        <v>20</v>
      </c>
    </row>
    <row r="118" spans="1:24" ht="154" x14ac:dyDescent="0.3">
      <c r="A118" s="354" t="s">
        <v>185</v>
      </c>
      <c r="B118" s="354" t="s">
        <v>1161</v>
      </c>
      <c r="C118" s="342">
        <v>0</v>
      </c>
      <c r="D118" s="342">
        <v>0</v>
      </c>
      <c r="E118" s="342">
        <v>1</v>
      </c>
      <c r="F118" s="342">
        <v>0</v>
      </c>
      <c r="G118" s="342">
        <v>0</v>
      </c>
      <c r="H118" s="342">
        <v>0</v>
      </c>
      <c r="I118" s="342">
        <v>0</v>
      </c>
      <c r="J118" s="342">
        <v>0</v>
      </c>
      <c r="K118" s="342"/>
      <c r="L118" s="342" t="s">
        <v>678</v>
      </c>
      <c r="M118" s="342" t="s">
        <v>702</v>
      </c>
      <c r="N118" s="342" t="s">
        <v>904</v>
      </c>
      <c r="O118" s="342" t="s">
        <v>699</v>
      </c>
      <c r="P118" s="342" t="s">
        <v>699</v>
      </c>
      <c r="Q118" s="342" t="s">
        <v>1162</v>
      </c>
      <c r="R118" s="342"/>
      <c r="S118" s="342" t="s">
        <v>1163</v>
      </c>
      <c r="T118" s="342" t="s">
        <v>1164</v>
      </c>
      <c r="U118" s="342" t="s">
        <v>46</v>
      </c>
      <c r="V118" s="342" t="s">
        <v>702</v>
      </c>
      <c r="W118" s="342" t="s">
        <v>769</v>
      </c>
      <c r="X118" s="342">
        <f t="shared" si="1"/>
        <v>20</v>
      </c>
    </row>
    <row r="119" spans="1:24" ht="154" x14ac:dyDescent="0.3">
      <c r="A119" s="354" t="s">
        <v>187</v>
      </c>
      <c r="B119" s="354" t="s">
        <v>1165</v>
      </c>
      <c r="C119" s="342">
        <v>0</v>
      </c>
      <c r="D119" s="342">
        <v>0</v>
      </c>
      <c r="E119" s="342">
        <v>1</v>
      </c>
      <c r="F119" s="342">
        <v>0</v>
      </c>
      <c r="G119" s="342">
        <v>0</v>
      </c>
      <c r="H119" s="342">
        <v>0</v>
      </c>
      <c r="I119" s="342">
        <v>0</v>
      </c>
      <c r="J119" s="342">
        <v>0</v>
      </c>
      <c r="K119" s="342"/>
      <c r="L119" s="342" t="s">
        <v>678</v>
      </c>
      <c r="M119" s="342" t="s">
        <v>702</v>
      </c>
      <c r="N119" s="342" t="s">
        <v>904</v>
      </c>
      <c r="O119" s="342" t="s">
        <v>699</v>
      </c>
      <c r="P119" s="342" t="s">
        <v>1166</v>
      </c>
      <c r="Q119" s="342" t="s">
        <v>1167</v>
      </c>
      <c r="R119" s="342"/>
      <c r="S119" s="342" t="s">
        <v>1168</v>
      </c>
      <c r="T119" s="342" t="s">
        <v>1169</v>
      </c>
      <c r="U119" s="342" t="s">
        <v>26</v>
      </c>
      <c r="V119" s="342" t="s">
        <v>702</v>
      </c>
      <c r="W119" s="342" t="s">
        <v>769</v>
      </c>
      <c r="X119" s="342">
        <f t="shared" si="1"/>
        <v>20</v>
      </c>
    </row>
    <row r="120" spans="1:24" ht="126" x14ac:dyDescent="0.3">
      <c r="A120" s="342" t="s">
        <v>189</v>
      </c>
      <c r="B120" s="342" t="s">
        <v>1170</v>
      </c>
      <c r="C120" s="342">
        <v>0</v>
      </c>
      <c r="D120" s="342">
        <v>0</v>
      </c>
      <c r="E120" s="342">
        <v>1</v>
      </c>
      <c r="F120" s="342">
        <v>0</v>
      </c>
      <c r="G120" s="342">
        <v>0</v>
      </c>
      <c r="H120" s="342">
        <v>0</v>
      </c>
      <c r="I120" s="342">
        <v>0</v>
      </c>
      <c r="J120" s="342">
        <v>1</v>
      </c>
      <c r="K120" s="342"/>
      <c r="L120" s="342" t="s">
        <v>678</v>
      </c>
      <c r="M120" s="342" t="s">
        <v>702</v>
      </c>
      <c r="N120" s="342" t="s">
        <v>904</v>
      </c>
      <c r="O120" s="342" t="s">
        <v>1171</v>
      </c>
      <c r="P120" s="342" t="s">
        <v>1172</v>
      </c>
      <c r="Q120" s="342" t="s">
        <v>1153</v>
      </c>
      <c r="R120" s="342"/>
      <c r="S120" s="342" t="s">
        <v>1173</v>
      </c>
      <c r="T120" s="342" t="s">
        <v>1155</v>
      </c>
      <c r="U120" s="342" t="s">
        <v>26</v>
      </c>
      <c r="V120" s="342" t="s">
        <v>702</v>
      </c>
      <c r="W120" s="342" t="s">
        <v>718</v>
      </c>
      <c r="X120" s="342">
        <f t="shared" si="1"/>
        <v>10</v>
      </c>
    </row>
    <row r="121" spans="1:24" ht="154" x14ac:dyDescent="0.3">
      <c r="A121" s="342" t="s">
        <v>191</v>
      </c>
      <c r="B121" s="342" t="s">
        <v>1174</v>
      </c>
      <c r="C121" s="342">
        <v>0</v>
      </c>
      <c r="D121" s="342">
        <v>0</v>
      </c>
      <c r="E121" s="342">
        <v>1</v>
      </c>
      <c r="F121" s="342">
        <v>0</v>
      </c>
      <c r="G121" s="342">
        <v>0</v>
      </c>
      <c r="H121" s="342">
        <v>0</v>
      </c>
      <c r="I121" s="342">
        <v>0</v>
      </c>
      <c r="J121" s="342">
        <v>1</v>
      </c>
      <c r="K121" s="342"/>
      <c r="L121" s="342" t="s">
        <v>678</v>
      </c>
      <c r="M121" s="342" t="s">
        <v>702</v>
      </c>
      <c r="N121" s="342" t="s">
        <v>904</v>
      </c>
      <c r="O121" s="342" t="s">
        <v>699</v>
      </c>
      <c r="P121" s="342" t="s">
        <v>1175</v>
      </c>
      <c r="Q121" s="342" t="s">
        <v>1176</v>
      </c>
      <c r="R121" s="342"/>
      <c r="S121" s="342" t="s">
        <v>1177</v>
      </c>
      <c r="T121" s="342" t="s">
        <v>1155</v>
      </c>
      <c r="U121" s="342" t="s">
        <v>26</v>
      </c>
      <c r="V121" s="342" t="s">
        <v>702</v>
      </c>
      <c r="W121" s="342" t="s">
        <v>718</v>
      </c>
      <c r="X121" s="342">
        <f t="shared" si="1"/>
        <v>10</v>
      </c>
    </row>
    <row r="122" spans="1:24" ht="112" x14ac:dyDescent="0.3">
      <c r="A122" s="342" t="s">
        <v>193</v>
      </c>
      <c r="B122" s="342" t="s">
        <v>1178</v>
      </c>
      <c r="C122" s="342">
        <v>0</v>
      </c>
      <c r="D122" s="342">
        <v>0</v>
      </c>
      <c r="E122" s="342">
        <v>1</v>
      </c>
      <c r="F122" s="342">
        <v>0</v>
      </c>
      <c r="G122" s="342">
        <v>0</v>
      </c>
      <c r="H122" s="342">
        <v>0</v>
      </c>
      <c r="I122" s="342">
        <v>0</v>
      </c>
      <c r="J122" s="342">
        <v>1</v>
      </c>
      <c r="K122" s="342"/>
      <c r="L122" s="342" t="s">
        <v>678</v>
      </c>
      <c r="M122" s="342" t="s">
        <v>702</v>
      </c>
      <c r="N122" s="342" t="s">
        <v>904</v>
      </c>
      <c r="O122" s="342" t="s">
        <v>699</v>
      </c>
      <c r="P122" s="342" t="s">
        <v>1179</v>
      </c>
      <c r="Q122" s="342" t="s">
        <v>1180</v>
      </c>
      <c r="R122" s="343" t="s">
        <v>867</v>
      </c>
      <c r="S122" s="342" t="s">
        <v>1181</v>
      </c>
      <c r="T122" s="342" t="s">
        <v>1182</v>
      </c>
      <c r="U122" s="342" t="s">
        <v>26</v>
      </c>
      <c r="V122" s="342" t="s">
        <v>702</v>
      </c>
      <c r="W122" s="342" t="s">
        <v>718</v>
      </c>
      <c r="X122" s="342">
        <f t="shared" si="1"/>
        <v>10</v>
      </c>
    </row>
    <row r="123" spans="1:24" ht="168" x14ac:dyDescent="0.3">
      <c r="A123" s="342" t="s">
        <v>195</v>
      </c>
      <c r="B123" s="342" t="s">
        <v>1183</v>
      </c>
      <c r="C123" s="342">
        <v>0</v>
      </c>
      <c r="D123" s="342">
        <v>0</v>
      </c>
      <c r="E123" s="342">
        <v>1</v>
      </c>
      <c r="F123" s="342">
        <v>0</v>
      </c>
      <c r="G123" s="342">
        <v>0</v>
      </c>
      <c r="H123" s="342">
        <v>0</v>
      </c>
      <c r="I123" s="342">
        <v>0</v>
      </c>
      <c r="J123" s="342">
        <v>1</v>
      </c>
      <c r="K123" s="342"/>
      <c r="L123" s="342" t="s">
        <v>678</v>
      </c>
      <c r="M123" s="342" t="s">
        <v>702</v>
      </c>
      <c r="N123" s="342" t="s">
        <v>904</v>
      </c>
      <c r="O123" s="342" t="s">
        <v>699</v>
      </c>
      <c r="P123" s="342" t="s">
        <v>1184</v>
      </c>
      <c r="Q123" s="342" t="s">
        <v>1185</v>
      </c>
      <c r="R123" s="342"/>
      <c r="S123" s="342" t="s">
        <v>1186</v>
      </c>
      <c r="T123" s="342" t="s">
        <v>1187</v>
      </c>
      <c r="U123" s="342" t="s">
        <v>26</v>
      </c>
      <c r="V123" s="342" t="s">
        <v>702</v>
      </c>
      <c r="W123" s="342" t="s">
        <v>718</v>
      </c>
      <c r="X123" s="342">
        <f t="shared" si="1"/>
        <v>10</v>
      </c>
    </row>
    <row r="124" spans="1:24" ht="148.5" customHeight="1" x14ac:dyDescent="0.3">
      <c r="A124" s="342" t="s">
        <v>197</v>
      </c>
      <c r="B124" s="342" t="s">
        <v>1188</v>
      </c>
      <c r="C124" s="342">
        <v>0</v>
      </c>
      <c r="D124" s="342">
        <v>0</v>
      </c>
      <c r="E124" s="342">
        <v>1</v>
      </c>
      <c r="F124" s="342">
        <v>0</v>
      </c>
      <c r="G124" s="342">
        <v>0</v>
      </c>
      <c r="H124" s="342">
        <v>0</v>
      </c>
      <c r="I124" s="342">
        <v>0</v>
      </c>
      <c r="J124" s="342">
        <v>1</v>
      </c>
      <c r="K124" s="342"/>
      <c r="L124" s="342" t="s">
        <v>678</v>
      </c>
      <c r="M124" s="342" t="s">
        <v>702</v>
      </c>
      <c r="N124" s="342" t="s">
        <v>904</v>
      </c>
      <c r="O124" s="342" t="s">
        <v>699</v>
      </c>
      <c r="P124" s="342" t="s">
        <v>1189</v>
      </c>
      <c r="Q124" s="342" t="s">
        <v>1190</v>
      </c>
      <c r="R124" s="342"/>
      <c r="S124" s="342" t="s">
        <v>1191</v>
      </c>
      <c r="T124" s="342" t="s">
        <v>1192</v>
      </c>
      <c r="U124" s="342" t="s">
        <v>26</v>
      </c>
      <c r="V124" s="342" t="s">
        <v>702</v>
      </c>
      <c r="W124" s="342" t="s">
        <v>718</v>
      </c>
      <c r="X124" s="342">
        <f t="shared" si="1"/>
        <v>10</v>
      </c>
    </row>
    <row r="125" spans="1:24" ht="147" customHeight="1" x14ac:dyDescent="0.3">
      <c r="A125" s="342" t="s">
        <v>199</v>
      </c>
      <c r="B125" s="342" t="s">
        <v>1193</v>
      </c>
      <c r="C125" s="342">
        <v>0</v>
      </c>
      <c r="D125" s="342">
        <v>0</v>
      </c>
      <c r="E125" s="342">
        <v>1</v>
      </c>
      <c r="F125" s="342">
        <v>0</v>
      </c>
      <c r="G125" s="342">
        <v>0</v>
      </c>
      <c r="H125" s="342">
        <v>0</v>
      </c>
      <c r="I125" s="342">
        <v>0</v>
      </c>
      <c r="J125" s="342">
        <v>1</v>
      </c>
      <c r="K125" s="342"/>
      <c r="L125" s="342" t="s">
        <v>678</v>
      </c>
      <c r="M125" s="342" t="s">
        <v>702</v>
      </c>
      <c r="N125" s="342" t="s">
        <v>904</v>
      </c>
      <c r="O125" s="342" t="s">
        <v>699</v>
      </c>
      <c r="P125" s="342" t="s">
        <v>1194</v>
      </c>
      <c r="Q125" s="342" t="s">
        <v>1195</v>
      </c>
      <c r="R125" s="342"/>
      <c r="S125" s="342" t="s">
        <v>1196</v>
      </c>
      <c r="T125" s="342" t="s">
        <v>1197</v>
      </c>
      <c r="U125" s="342" t="s">
        <v>26</v>
      </c>
      <c r="V125" s="342" t="s">
        <v>702</v>
      </c>
      <c r="W125" s="342" t="s">
        <v>727</v>
      </c>
      <c r="X125" s="342">
        <f t="shared" si="1"/>
        <v>5</v>
      </c>
    </row>
    <row r="126" spans="1:24" ht="154" x14ac:dyDescent="0.3">
      <c r="A126" s="342" t="s">
        <v>201</v>
      </c>
      <c r="B126" s="342" t="s">
        <v>1198</v>
      </c>
      <c r="C126" s="342">
        <v>0</v>
      </c>
      <c r="D126" s="342">
        <v>0</v>
      </c>
      <c r="E126" s="342">
        <v>1</v>
      </c>
      <c r="F126" s="342">
        <v>0</v>
      </c>
      <c r="G126" s="342">
        <v>0</v>
      </c>
      <c r="H126" s="342">
        <v>0</v>
      </c>
      <c r="I126" s="342">
        <v>0</v>
      </c>
      <c r="J126" s="342">
        <v>0</v>
      </c>
      <c r="K126" s="342"/>
      <c r="L126" s="342" t="s">
        <v>678</v>
      </c>
      <c r="M126" s="342" t="s">
        <v>702</v>
      </c>
      <c r="N126" s="342" t="s">
        <v>904</v>
      </c>
      <c r="O126" s="342" t="s">
        <v>699</v>
      </c>
      <c r="P126" s="342" t="s">
        <v>1199</v>
      </c>
      <c r="Q126" s="342" t="s">
        <v>1200</v>
      </c>
      <c r="R126" s="342"/>
      <c r="S126" s="342" t="s">
        <v>1168</v>
      </c>
      <c r="T126" s="342" t="s">
        <v>1169</v>
      </c>
      <c r="U126" s="342" t="s">
        <v>26</v>
      </c>
      <c r="V126" s="342" t="s">
        <v>702</v>
      </c>
      <c r="W126" s="342" t="s">
        <v>718</v>
      </c>
      <c r="X126" s="342">
        <f t="shared" si="1"/>
        <v>10</v>
      </c>
    </row>
    <row r="127" spans="1:24" ht="154" x14ac:dyDescent="0.3">
      <c r="A127" s="342" t="s">
        <v>203</v>
      </c>
      <c r="B127" s="342" t="s">
        <v>1201</v>
      </c>
      <c r="C127" s="342">
        <v>0</v>
      </c>
      <c r="D127" s="342">
        <v>0</v>
      </c>
      <c r="E127" s="342">
        <v>1</v>
      </c>
      <c r="F127" s="342">
        <v>0</v>
      </c>
      <c r="G127" s="342">
        <v>0</v>
      </c>
      <c r="H127" s="342">
        <v>0</v>
      </c>
      <c r="I127" s="342">
        <v>0</v>
      </c>
      <c r="J127" s="342">
        <v>0</v>
      </c>
      <c r="K127" s="342"/>
      <c r="L127" s="342" t="s">
        <v>678</v>
      </c>
      <c r="M127" s="342" t="s">
        <v>702</v>
      </c>
      <c r="N127" s="342" t="s">
        <v>904</v>
      </c>
      <c r="O127" s="342" t="s">
        <v>699</v>
      </c>
      <c r="P127" s="342" t="s">
        <v>1202</v>
      </c>
      <c r="Q127" s="342" t="s">
        <v>699</v>
      </c>
      <c r="R127" s="342"/>
      <c r="S127" s="342" t="s">
        <v>1168</v>
      </c>
      <c r="T127" s="342" t="s">
        <v>1203</v>
      </c>
      <c r="U127" s="342" t="s">
        <v>26</v>
      </c>
      <c r="V127" s="342" t="s">
        <v>702</v>
      </c>
      <c r="W127" s="342" t="s">
        <v>718</v>
      </c>
      <c r="X127" s="342">
        <f t="shared" si="1"/>
        <v>10</v>
      </c>
    </row>
    <row r="128" spans="1:24" ht="168" x14ac:dyDescent="0.3">
      <c r="A128" s="342" t="s">
        <v>205</v>
      </c>
      <c r="B128" s="342" t="s">
        <v>1204</v>
      </c>
      <c r="C128" s="342">
        <v>0</v>
      </c>
      <c r="D128" s="342">
        <v>0</v>
      </c>
      <c r="E128" s="342">
        <v>1</v>
      </c>
      <c r="F128" s="342">
        <v>0</v>
      </c>
      <c r="G128" s="342">
        <v>0</v>
      </c>
      <c r="H128" s="342">
        <v>0</v>
      </c>
      <c r="I128" s="342">
        <v>0</v>
      </c>
      <c r="J128" s="342">
        <v>1</v>
      </c>
      <c r="K128" s="342"/>
      <c r="L128" s="342" t="s">
        <v>678</v>
      </c>
      <c r="M128" s="342" t="s">
        <v>702</v>
      </c>
      <c r="N128" s="342" t="s">
        <v>904</v>
      </c>
      <c r="O128" s="342" t="s">
        <v>699</v>
      </c>
      <c r="P128" s="342" t="s">
        <v>699</v>
      </c>
      <c r="Q128" s="342" t="s">
        <v>1205</v>
      </c>
      <c r="R128" s="342"/>
      <c r="S128" s="342" t="s">
        <v>1206</v>
      </c>
      <c r="T128" s="342" t="s">
        <v>1207</v>
      </c>
      <c r="U128" s="342" t="s">
        <v>46</v>
      </c>
      <c r="V128" s="342" t="s">
        <v>702</v>
      </c>
      <c r="W128" s="342" t="s">
        <v>718</v>
      </c>
      <c r="X128" s="342">
        <f t="shared" si="1"/>
        <v>10</v>
      </c>
    </row>
    <row r="129" spans="1:24" ht="409" customHeight="1" x14ac:dyDescent="0.3">
      <c r="A129" s="342" t="s">
        <v>207</v>
      </c>
      <c r="B129" s="342" t="s">
        <v>1208</v>
      </c>
      <c r="C129" s="342">
        <v>0</v>
      </c>
      <c r="D129" s="342">
        <v>0</v>
      </c>
      <c r="E129" s="342">
        <v>1</v>
      </c>
      <c r="F129" s="342">
        <v>0</v>
      </c>
      <c r="G129" s="342">
        <v>0</v>
      </c>
      <c r="H129" s="342">
        <v>0</v>
      </c>
      <c r="I129" s="342">
        <v>0</v>
      </c>
      <c r="J129" s="342">
        <v>0</v>
      </c>
      <c r="K129" s="342"/>
      <c r="L129" s="342" t="s">
        <v>678</v>
      </c>
      <c r="M129" s="342" t="s">
        <v>702</v>
      </c>
      <c r="N129" s="342" t="s">
        <v>904</v>
      </c>
      <c r="O129" s="342" t="s">
        <v>699</v>
      </c>
      <c r="P129" s="342" t="s">
        <v>699</v>
      </c>
      <c r="Q129" s="342" t="s">
        <v>1209</v>
      </c>
      <c r="R129" s="342"/>
      <c r="S129" s="342" t="s">
        <v>1210</v>
      </c>
      <c r="T129" s="342" t="s">
        <v>1211</v>
      </c>
      <c r="U129" s="342" t="s">
        <v>26</v>
      </c>
      <c r="V129" s="342" t="s">
        <v>702</v>
      </c>
      <c r="W129" s="342" t="s">
        <v>718</v>
      </c>
      <c r="X129" s="342">
        <f t="shared" si="1"/>
        <v>10</v>
      </c>
    </row>
    <row r="130" spans="1:24" ht="294" customHeight="1" x14ac:dyDescent="0.3">
      <c r="A130" s="342" t="s">
        <v>209</v>
      </c>
      <c r="B130" s="342" t="s">
        <v>1212</v>
      </c>
      <c r="C130" s="342">
        <v>0</v>
      </c>
      <c r="D130" s="342">
        <v>0</v>
      </c>
      <c r="E130" s="342">
        <v>1</v>
      </c>
      <c r="F130" s="342">
        <v>0</v>
      </c>
      <c r="G130" s="342">
        <v>0</v>
      </c>
      <c r="H130" s="342">
        <v>0</v>
      </c>
      <c r="I130" s="342">
        <v>0</v>
      </c>
      <c r="J130" s="342">
        <v>0</v>
      </c>
      <c r="K130" s="342"/>
      <c r="L130" s="342" t="s">
        <v>678</v>
      </c>
      <c r="M130" s="342" t="s">
        <v>702</v>
      </c>
      <c r="N130" s="342" t="s">
        <v>904</v>
      </c>
      <c r="O130" s="342" t="s">
        <v>699</v>
      </c>
      <c r="P130" s="342" t="s">
        <v>1213</v>
      </c>
      <c r="Q130" s="342" t="s">
        <v>1214</v>
      </c>
      <c r="R130" s="342"/>
      <c r="S130" s="342" t="s">
        <v>1215</v>
      </c>
      <c r="T130" s="342" t="s">
        <v>1216</v>
      </c>
      <c r="U130" s="342" t="s">
        <v>26</v>
      </c>
      <c r="V130" s="342" t="s">
        <v>702</v>
      </c>
      <c r="W130" s="342" t="s">
        <v>727</v>
      </c>
      <c r="X130" s="342">
        <f t="shared" si="1"/>
        <v>5</v>
      </c>
    </row>
    <row r="131" spans="1:24" ht="220.5" customHeight="1" x14ac:dyDescent="0.3">
      <c r="A131" s="342" t="s">
        <v>211</v>
      </c>
      <c r="B131" s="342" t="s">
        <v>1217</v>
      </c>
      <c r="C131" s="342">
        <v>0</v>
      </c>
      <c r="D131" s="342">
        <v>0</v>
      </c>
      <c r="E131" s="342">
        <v>1</v>
      </c>
      <c r="F131" s="342">
        <v>0</v>
      </c>
      <c r="G131" s="342">
        <v>0</v>
      </c>
      <c r="H131" s="342">
        <v>0</v>
      </c>
      <c r="I131" s="342">
        <v>0</v>
      </c>
      <c r="J131" s="342">
        <v>1</v>
      </c>
      <c r="K131" s="342"/>
      <c r="L131" s="342" t="s">
        <v>678</v>
      </c>
      <c r="M131" s="342" t="s">
        <v>702</v>
      </c>
      <c r="N131" s="342" t="s">
        <v>904</v>
      </c>
      <c r="O131" s="342" t="s">
        <v>699</v>
      </c>
      <c r="P131" s="342" t="s">
        <v>1218</v>
      </c>
      <c r="Q131" s="342" t="s">
        <v>1219</v>
      </c>
      <c r="R131" s="342"/>
      <c r="S131" s="342" t="s">
        <v>1220</v>
      </c>
      <c r="T131" s="342" t="s">
        <v>1160</v>
      </c>
      <c r="U131" s="342" t="s">
        <v>26</v>
      </c>
      <c r="V131" s="342" t="s">
        <v>702</v>
      </c>
      <c r="W131" s="342" t="s">
        <v>727</v>
      </c>
      <c r="X131" s="342">
        <f t="shared" si="1"/>
        <v>5</v>
      </c>
    </row>
    <row r="132" spans="1:24" ht="126" x14ac:dyDescent="0.3">
      <c r="A132" s="342" t="s">
        <v>213</v>
      </c>
      <c r="B132" s="342" t="s">
        <v>1221</v>
      </c>
      <c r="C132" s="342">
        <v>0</v>
      </c>
      <c r="D132" s="342">
        <v>0</v>
      </c>
      <c r="E132" s="342">
        <v>1</v>
      </c>
      <c r="F132" s="342">
        <v>0</v>
      </c>
      <c r="G132" s="342">
        <v>0</v>
      </c>
      <c r="H132" s="342">
        <v>0</v>
      </c>
      <c r="I132" s="342">
        <v>0</v>
      </c>
      <c r="J132" s="342">
        <v>1</v>
      </c>
      <c r="K132" s="342"/>
      <c r="L132" s="342" t="s">
        <v>678</v>
      </c>
      <c r="M132" s="342" t="s">
        <v>702</v>
      </c>
      <c r="N132" s="342" t="s">
        <v>904</v>
      </c>
      <c r="O132" s="342" t="s">
        <v>699</v>
      </c>
      <c r="P132" s="342" t="s">
        <v>1222</v>
      </c>
      <c r="Q132" s="342" t="s">
        <v>1223</v>
      </c>
      <c r="R132" s="342"/>
      <c r="S132" s="342" t="s">
        <v>1159</v>
      </c>
      <c r="T132" s="342" t="s">
        <v>1160</v>
      </c>
      <c r="U132" s="342" t="s">
        <v>26</v>
      </c>
      <c r="V132" s="342" t="s">
        <v>702</v>
      </c>
      <c r="W132" s="342" t="s">
        <v>727</v>
      </c>
      <c r="X132" s="342">
        <f t="shared" si="1"/>
        <v>5</v>
      </c>
    </row>
    <row r="133" spans="1:24" ht="168" x14ac:dyDescent="0.3">
      <c r="A133" s="342" t="s">
        <v>215</v>
      </c>
      <c r="B133" s="342" t="s">
        <v>1224</v>
      </c>
      <c r="C133" s="342">
        <v>0</v>
      </c>
      <c r="D133" s="342">
        <v>0</v>
      </c>
      <c r="E133" s="342">
        <v>1</v>
      </c>
      <c r="F133" s="342">
        <v>0</v>
      </c>
      <c r="G133" s="342">
        <v>0</v>
      </c>
      <c r="H133" s="342">
        <v>0</v>
      </c>
      <c r="I133" s="342">
        <v>0</v>
      </c>
      <c r="J133" s="342">
        <v>1</v>
      </c>
      <c r="K133" s="342"/>
      <c r="L133" s="342" t="s">
        <v>678</v>
      </c>
      <c r="M133" s="342" t="s">
        <v>702</v>
      </c>
      <c r="N133" s="342" t="s">
        <v>904</v>
      </c>
      <c r="O133" s="342" t="s">
        <v>1225</v>
      </c>
      <c r="P133" s="342" t="s">
        <v>1226</v>
      </c>
      <c r="Q133" s="342" t="s">
        <v>1227</v>
      </c>
      <c r="R133" s="342"/>
      <c r="S133" s="342" t="s">
        <v>1228</v>
      </c>
      <c r="T133" s="342" t="s">
        <v>1229</v>
      </c>
      <c r="U133" s="342" t="s">
        <v>26</v>
      </c>
      <c r="V133" s="342" t="s">
        <v>702</v>
      </c>
      <c r="W133" s="342" t="s">
        <v>727</v>
      </c>
      <c r="X133" s="342">
        <f t="shared" si="1"/>
        <v>5</v>
      </c>
    </row>
    <row r="134" spans="1:24" ht="224" x14ac:dyDescent="0.3">
      <c r="A134" s="342" t="s">
        <v>217</v>
      </c>
      <c r="B134" s="342" t="s">
        <v>1230</v>
      </c>
      <c r="C134" s="342">
        <v>0</v>
      </c>
      <c r="D134" s="342">
        <v>0</v>
      </c>
      <c r="E134" s="342">
        <v>1</v>
      </c>
      <c r="F134" s="342">
        <v>0</v>
      </c>
      <c r="G134" s="342">
        <v>0</v>
      </c>
      <c r="H134" s="342">
        <v>0</v>
      </c>
      <c r="I134" s="342">
        <v>0</v>
      </c>
      <c r="J134" s="342">
        <v>0</v>
      </c>
      <c r="K134" s="342"/>
      <c r="L134" s="342" t="s">
        <v>678</v>
      </c>
      <c r="M134" s="342" t="s">
        <v>702</v>
      </c>
      <c r="N134" s="342" t="s">
        <v>904</v>
      </c>
      <c r="O134" s="342" t="s">
        <v>1231</v>
      </c>
      <c r="P134" s="342" t="s">
        <v>1231</v>
      </c>
      <c r="Q134" s="342" t="s">
        <v>1231</v>
      </c>
      <c r="R134" s="342"/>
      <c r="S134" s="342" t="s">
        <v>1232</v>
      </c>
      <c r="T134" s="342" t="s">
        <v>1233</v>
      </c>
      <c r="U134" s="342" t="s">
        <v>26</v>
      </c>
      <c r="V134" s="342" t="s">
        <v>702</v>
      </c>
      <c r="W134" s="342" t="s">
        <v>727</v>
      </c>
      <c r="X134" s="342">
        <f t="shared" si="1"/>
        <v>5</v>
      </c>
    </row>
    <row r="135" spans="1:24" ht="252" x14ac:dyDescent="0.3">
      <c r="A135" s="221" t="s">
        <v>247</v>
      </c>
      <c r="B135" s="342" t="s">
        <v>1234</v>
      </c>
      <c r="C135" s="342">
        <v>0</v>
      </c>
      <c r="D135" s="342">
        <v>0</v>
      </c>
      <c r="E135" s="342">
        <v>0</v>
      </c>
      <c r="F135" s="342">
        <v>1</v>
      </c>
      <c r="G135" s="342">
        <v>0</v>
      </c>
      <c r="H135" s="342">
        <v>0</v>
      </c>
      <c r="I135" s="342">
        <v>0</v>
      </c>
      <c r="J135" s="342">
        <v>1</v>
      </c>
      <c r="K135" s="342"/>
      <c r="L135" s="342" t="s">
        <v>700</v>
      </c>
      <c r="M135" s="342" t="s">
        <v>702</v>
      </c>
      <c r="N135" s="342" t="s">
        <v>1235</v>
      </c>
      <c r="O135" s="342" t="s">
        <v>1236</v>
      </c>
      <c r="P135" s="342" t="s">
        <v>1236</v>
      </c>
      <c r="Q135" s="342" t="s">
        <v>1236</v>
      </c>
      <c r="R135" s="342"/>
      <c r="S135" s="342" t="s">
        <v>1237</v>
      </c>
      <c r="T135" s="342" t="s">
        <v>1238</v>
      </c>
      <c r="U135" s="342" t="s">
        <v>700</v>
      </c>
      <c r="V135" s="342" t="s">
        <v>702</v>
      </c>
      <c r="W135" s="342"/>
      <c r="X135" s="342"/>
    </row>
    <row r="136" spans="1:24" ht="392" x14ac:dyDescent="0.3">
      <c r="A136" s="342" t="s">
        <v>249</v>
      </c>
      <c r="B136" s="342" t="s">
        <v>1239</v>
      </c>
      <c r="C136" s="342">
        <v>0</v>
      </c>
      <c r="D136" s="342">
        <v>0</v>
      </c>
      <c r="E136" s="342">
        <v>0</v>
      </c>
      <c r="F136" s="342">
        <v>1</v>
      </c>
      <c r="G136" s="342">
        <v>0</v>
      </c>
      <c r="H136" s="342">
        <v>0</v>
      </c>
      <c r="I136" s="342">
        <v>0</v>
      </c>
      <c r="J136" s="342">
        <v>0</v>
      </c>
      <c r="K136" s="342"/>
      <c r="L136" s="342" t="s">
        <v>903</v>
      </c>
      <c r="M136" s="342" t="s">
        <v>702</v>
      </c>
      <c r="N136" s="342" t="s">
        <v>699</v>
      </c>
      <c r="O136" s="342" t="s">
        <v>699</v>
      </c>
      <c r="P136" s="342" t="s">
        <v>699</v>
      </c>
      <c r="Q136" s="342" t="s">
        <v>1240</v>
      </c>
      <c r="R136" s="342"/>
      <c r="S136" s="342" t="s">
        <v>1241</v>
      </c>
      <c r="T136" s="342" t="s">
        <v>1242</v>
      </c>
      <c r="U136" s="342" t="s">
        <v>26</v>
      </c>
      <c r="V136" s="342" t="s">
        <v>702</v>
      </c>
      <c r="W136" s="342" t="s">
        <v>718</v>
      </c>
      <c r="X136" s="342">
        <f t="shared" si="1"/>
        <v>10</v>
      </c>
    </row>
    <row r="137" spans="1:24" ht="339.75" customHeight="1" x14ac:dyDescent="0.3">
      <c r="A137" s="221" t="s">
        <v>250</v>
      </c>
      <c r="B137" s="342" t="s">
        <v>1243</v>
      </c>
      <c r="C137" s="342">
        <v>0</v>
      </c>
      <c r="D137" s="342">
        <v>0</v>
      </c>
      <c r="E137" s="342">
        <v>0</v>
      </c>
      <c r="F137" s="342">
        <v>1</v>
      </c>
      <c r="G137" s="342">
        <v>0</v>
      </c>
      <c r="H137" s="342">
        <v>0</v>
      </c>
      <c r="I137" s="342">
        <v>0</v>
      </c>
      <c r="J137" s="342">
        <v>1</v>
      </c>
      <c r="K137" s="342"/>
      <c r="L137" s="342" t="s">
        <v>903</v>
      </c>
      <c r="M137" s="342" t="s">
        <v>702</v>
      </c>
      <c r="N137" s="342" t="s">
        <v>699</v>
      </c>
      <c r="O137" s="342" t="s">
        <v>1244</v>
      </c>
      <c r="P137" s="342" t="s">
        <v>1245</v>
      </c>
      <c r="Q137" s="342" t="s">
        <v>1244</v>
      </c>
      <c r="R137" s="342"/>
      <c r="S137" s="342" t="s">
        <v>1246</v>
      </c>
      <c r="T137" s="342" t="s">
        <v>1247</v>
      </c>
      <c r="U137" s="342" t="s">
        <v>26</v>
      </c>
      <c r="V137" s="342" t="s">
        <v>702</v>
      </c>
      <c r="W137" s="342" t="s">
        <v>718</v>
      </c>
      <c r="X137" s="342">
        <f t="shared" si="1"/>
        <v>10</v>
      </c>
    </row>
    <row r="138" spans="1:24" ht="186" customHeight="1" x14ac:dyDescent="0.3">
      <c r="A138" s="342" t="s">
        <v>252</v>
      </c>
      <c r="B138" s="342" t="s">
        <v>1248</v>
      </c>
      <c r="C138" s="342">
        <v>0</v>
      </c>
      <c r="D138" s="342">
        <v>0</v>
      </c>
      <c r="E138" s="342">
        <v>0</v>
      </c>
      <c r="F138" s="342">
        <v>1</v>
      </c>
      <c r="G138" s="342">
        <v>0</v>
      </c>
      <c r="H138" s="342">
        <v>0</v>
      </c>
      <c r="I138" s="342">
        <v>0</v>
      </c>
      <c r="J138" s="342">
        <v>0</v>
      </c>
      <c r="K138" s="342"/>
      <c r="L138" s="342" t="s">
        <v>903</v>
      </c>
      <c r="M138" s="342" t="s">
        <v>702</v>
      </c>
      <c r="N138" s="342" t="s">
        <v>699</v>
      </c>
      <c r="O138" s="342" t="s">
        <v>699</v>
      </c>
      <c r="P138" s="342" t="s">
        <v>1249</v>
      </c>
      <c r="Q138" s="342" t="s">
        <v>1250</v>
      </c>
      <c r="R138" s="342"/>
      <c r="S138" s="342" t="s">
        <v>1251</v>
      </c>
      <c r="T138" s="342" t="s">
        <v>1252</v>
      </c>
      <c r="U138" s="342" t="s">
        <v>26</v>
      </c>
      <c r="V138" s="342" t="s">
        <v>702</v>
      </c>
      <c r="W138" s="342" t="s">
        <v>718</v>
      </c>
      <c r="X138" s="342">
        <f t="shared" si="1"/>
        <v>10</v>
      </c>
    </row>
    <row r="139" spans="1:24" ht="168" x14ac:dyDescent="0.3">
      <c r="A139" s="221" t="s">
        <v>253</v>
      </c>
      <c r="B139" s="342" t="s">
        <v>1253</v>
      </c>
      <c r="C139" s="342">
        <v>0</v>
      </c>
      <c r="D139" s="342">
        <v>0</v>
      </c>
      <c r="E139" s="342">
        <v>0</v>
      </c>
      <c r="F139" s="342">
        <v>1</v>
      </c>
      <c r="G139" s="342">
        <v>0</v>
      </c>
      <c r="H139" s="342">
        <v>0</v>
      </c>
      <c r="I139" s="342">
        <v>0</v>
      </c>
      <c r="J139" s="342">
        <v>0</v>
      </c>
      <c r="K139" s="342"/>
      <c r="L139" s="342" t="s">
        <v>903</v>
      </c>
      <c r="M139" s="342" t="s">
        <v>702</v>
      </c>
      <c r="N139" s="342" t="s">
        <v>699</v>
      </c>
      <c r="O139" s="342" t="s">
        <v>699</v>
      </c>
      <c r="P139" s="342" t="s">
        <v>1254</v>
      </c>
      <c r="Q139" s="342" t="s">
        <v>1255</v>
      </c>
      <c r="R139" s="342"/>
      <c r="S139" s="342" t="s">
        <v>1256</v>
      </c>
      <c r="T139" s="342" t="s">
        <v>1257</v>
      </c>
      <c r="U139" s="342" t="s">
        <v>26</v>
      </c>
      <c r="V139" s="342" t="s">
        <v>702</v>
      </c>
      <c r="W139" s="342" t="s">
        <v>718</v>
      </c>
      <c r="X139" s="342">
        <f t="shared" si="1"/>
        <v>10</v>
      </c>
    </row>
    <row r="140" spans="1:24" ht="168" x14ac:dyDescent="0.3">
      <c r="A140" s="354" t="s">
        <v>254</v>
      </c>
      <c r="B140" s="354" t="s">
        <v>1258</v>
      </c>
      <c r="C140" s="342">
        <v>0</v>
      </c>
      <c r="D140" s="342">
        <v>0</v>
      </c>
      <c r="E140" s="342">
        <v>0</v>
      </c>
      <c r="F140" s="342">
        <v>1</v>
      </c>
      <c r="G140" s="342">
        <v>0</v>
      </c>
      <c r="H140" s="342">
        <v>0</v>
      </c>
      <c r="I140" s="342">
        <v>0</v>
      </c>
      <c r="J140" s="342">
        <v>0</v>
      </c>
      <c r="K140" s="342"/>
      <c r="L140" s="342" t="s">
        <v>903</v>
      </c>
      <c r="M140" s="342" t="s">
        <v>702</v>
      </c>
      <c r="N140" s="342" t="s">
        <v>699</v>
      </c>
      <c r="O140" s="342" t="s">
        <v>699</v>
      </c>
      <c r="P140" s="342" t="s">
        <v>1259</v>
      </c>
      <c r="Q140" s="342" t="s">
        <v>699</v>
      </c>
      <c r="R140" s="342"/>
      <c r="S140" s="342" t="s">
        <v>1256</v>
      </c>
      <c r="T140" s="342" t="s">
        <v>1257</v>
      </c>
      <c r="U140" s="342" t="s">
        <v>26</v>
      </c>
      <c r="V140" s="342" t="s">
        <v>702</v>
      </c>
      <c r="W140" s="342" t="s">
        <v>769</v>
      </c>
      <c r="X140" s="342">
        <f t="shared" ref="X140:X203" si="2">IF($W140="Critical Importance",20,IF($W140="Minor Importance",5,10))</f>
        <v>20</v>
      </c>
    </row>
    <row r="141" spans="1:24" ht="214.5" customHeight="1" x14ac:dyDescent="0.3">
      <c r="A141" s="221" t="s">
        <v>255</v>
      </c>
      <c r="B141" s="342" t="s">
        <v>1260</v>
      </c>
      <c r="C141" s="342">
        <v>0</v>
      </c>
      <c r="D141" s="342">
        <v>0</v>
      </c>
      <c r="E141" s="342">
        <v>0</v>
      </c>
      <c r="F141" s="342">
        <v>1</v>
      </c>
      <c r="G141" s="342">
        <v>0</v>
      </c>
      <c r="H141" s="342">
        <v>0</v>
      </c>
      <c r="I141" s="342">
        <v>0</v>
      </c>
      <c r="J141" s="342">
        <v>0</v>
      </c>
      <c r="K141" s="342"/>
      <c r="L141" s="342" t="s">
        <v>903</v>
      </c>
      <c r="M141" s="342" t="s">
        <v>702</v>
      </c>
      <c r="N141" s="342" t="s">
        <v>699</v>
      </c>
      <c r="O141" s="342" t="s">
        <v>699</v>
      </c>
      <c r="P141" s="342" t="s">
        <v>1261</v>
      </c>
      <c r="Q141" s="342" t="s">
        <v>1262</v>
      </c>
      <c r="R141" s="342"/>
      <c r="S141" s="342" t="s">
        <v>1263</v>
      </c>
      <c r="T141" s="342" t="s">
        <v>1264</v>
      </c>
      <c r="U141" s="342" t="s">
        <v>26</v>
      </c>
      <c r="V141" s="342" t="s">
        <v>702</v>
      </c>
      <c r="W141" s="342" t="s">
        <v>718</v>
      </c>
      <c r="X141" s="342">
        <f t="shared" si="2"/>
        <v>10</v>
      </c>
    </row>
    <row r="142" spans="1:24" ht="70" x14ac:dyDescent="0.3">
      <c r="A142" s="342" t="s">
        <v>257</v>
      </c>
      <c r="B142" s="342" t="s">
        <v>1265</v>
      </c>
      <c r="C142" s="342">
        <v>0</v>
      </c>
      <c r="D142" s="342">
        <v>0</v>
      </c>
      <c r="E142" s="342">
        <v>0</v>
      </c>
      <c r="F142" s="342">
        <v>1</v>
      </c>
      <c r="G142" s="342">
        <v>0</v>
      </c>
      <c r="H142" s="342">
        <v>0</v>
      </c>
      <c r="I142" s="342">
        <v>0</v>
      </c>
      <c r="J142" s="342">
        <v>0</v>
      </c>
      <c r="K142" s="342"/>
      <c r="L142" s="342" t="s">
        <v>903</v>
      </c>
      <c r="M142" s="342" t="s">
        <v>702</v>
      </c>
      <c r="N142" s="342" t="s">
        <v>699</v>
      </c>
      <c r="O142" s="342" t="s">
        <v>699</v>
      </c>
      <c r="P142" s="342" t="s">
        <v>1266</v>
      </c>
      <c r="Q142" s="342" t="s">
        <v>1267</v>
      </c>
      <c r="R142" s="342"/>
      <c r="S142" s="342" t="s">
        <v>1268</v>
      </c>
      <c r="T142" s="342" t="s">
        <v>1269</v>
      </c>
      <c r="U142" s="342" t="s">
        <v>26</v>
      </c>
      <c r="V142" s="342" t="s">
        <v>702</v>
      </c>
      <c r="W142" s="342" t="s">
        <v>718</v>
      </c>
      <c r="X142" s="342">
        <f t="shared" si="2"/>
        <v>10</v>
      </c>
    </row>
    <row r="143" spans="1:24" ht="70" x14ac:dyDescent="0.3">
      <c r="A143" s="221" t="s">
        <v>259</v>
      </c>
      <c r="B143" s="342" t="s">
        <v>1270</v>
      </c>
      <c r="C143" s="342">
        <v>0</v>
      </c>
      <c r="D143" s="342">
        <v>0</v>
      </c>
      <c r="E143" s="342">
        <v>0</v>
      </c>
      <c r="F143" s="342">
        <v>1</v>
      </c>
      <c r="G143" s="342">
        <v>0</v>
      </c>
      <c r="H143" s="342">
        <v>0</v>
      </c>
      <c r="I143" s="342">
        <v>0</v>
      </c>
      <c r="J143" s="342">
        <v>0</v>
      </c>
      <c r="K143" s="342"/>
      <c r="L143" s="342" t="s">
        <v>903</v>
      </c>
      <c r="M143" s="342" t="s">
        <v>702</v>
      </c>
      <c r="N143" s="342" t="s">
        <v>699</v>
      </c>
      <c r="O143" s="342" t="s">
        <v>699</v>
      </c>
      <c r="P143" s="342" t="s">
        <v>1271</v>
      </c>
      <c r="Q143" s="342" t="s">
        <v>1272</v>
      </c>
      <c r="R143" s="342"/>
      <c r="S143" s="342" t="s">
        <v>1268</v>
      </c>
      <c r="T143" s="342" t="s">
        <v>1269</v>
      </c>
      <c r="U143" s="342" t="s">
        <v>26</v>
      </c>
      <c r="V143" s="342" t="s">
        <v>702</v>
      </c>
      <c r="W143" s="342" t="s">
        <v>718</v>
      </c>
      <c r="X143" s="342">
        <f t="shared" si="2"/>
        <v>10</v>
      </c>
    </row>
    <row r="144" spans="1:24" ht="192.75" customHeight="1" x14ac:dyDescent="0.3">
      <c r="A144" s="354" t="s">
        <v>260</v>
      </c>
      <c r="B144" s="354" t="s">
        <v>1273</v>
      </c>
      <c r="C144" s="342">
        <v>0</v>
      </c>
      <c r="D144" s="342">
        <v>0</v>
      </c>
      <c r="E144" s="342">
        <v>0</v>
      </c>
      <c r="F144" s="342">
        <v>1</v>
      </c>
      <c r="G144" s="342">
        <v>0</v>
      </c>
      <c r="H144" s="342">
        <v>0</v>
      </c>
      <c r="I144" s="342">
        <v>0</v>
      </c>
      <c r="J144" s="342">
        <v>0</v>
      </c>
      <c r="K144" s="342"/>
      <c r="L144" s="342" t="s">
        <v>903</v>
      </c>
      <c r="M144" s="342" t="s">
        <v>702</v>
      </c>
      <c r="N144" s="342" t="s">
        <v>699</v>
      </c>
      <c r="O144" s="342" t="s">
        <v>699</v>
      </c>
      <c r="P144" s="342" t="s">
        <v>1274</v>
      </c>
      <c r="Q144" s="342" t="s">
        <v>1275</v>
      </c>
      <c r="R144" s="342"/>
      <c r="S144" s="342" t="s">
        <v>1276</v>
      </c>
      <c r="T144" s="342" t="s">
        <v>1277</v>
      </c>
      <c r="U144" s="342" t="s">
        <v>26</v>
      </c>
      <c r="V144" s="342" t="s">
        <v>702</v>
      </c>
      <c r="W144" s="342" t="s">
        <v>769</v>
      </c>
      <c r="X144" s="342">
        <f t="shared" si="2"/>
        <v>20</v>
      </c>
    </row>
    <row r="145" spans="1:24" ht="140" x14ac:dyDescent="0.3">
      <c r="A145" s="221" t="s">
        <v>261</v>
      </c>
      <c r="B145" s="342" t="s">
        <v>1278</v>
      </c>
      <c r="C145" s="342">
        <v>0</v>
      </c>
      <c r="D145" s="342">
        <v>0</v>
      </c>
      <c r="E145" s="342">
        <v>0</v>
      </c>
      <c r="F145" s="342">
        <v>1</v>
      </c>
      <c r="G145" s="342">
        <v>0</v>
      </c>
      <c r="H145" s="342">
        <v>0</v>
      </c>
      <c r="I145" s="342">
        <v>0</v>
      </c>
      <c r="J145" s="342">
        <v>0</v>
      </c>
      <c r="K145" s="342"/>
      <c r="L145" s="342" t="s">
        <v>903</v>
      </c>
      <c r="M145" s="342" t="s">
        <v>702</v>
      </c>
      <c r="N145" s="342" t="s">
        <v>699</v>
      </c>
      <c r="O145" s="342"/>
      <c r="P145" s="342" t="s">
        <v>699</v>
      </c>
      <c r="Q145" s="342" t="s">
        <v>699</v>
      </c>
      <c r="R145" s="342"/>
      <c r="S145" s="342" t="s">
        <v>1279</v>
      </c>
      <c r="T145" s="342" t="s">
        <v>1280</v>
      </c>
      <c r="U145" s="342" t="s">
        <v>26</v>
      </c>
      <c r="V145" s="342" t="s">
        <v>702</v>
      </c>
      <c r="W145" s="342" t="s">
        <v>718</v>
      </c>
      <c r="X145" s="342">
        <f t="shared" si="2"/>
        <v>10</v>
      </c>
    </row>
    <row r="146" spans="1:24" ht="70" x14ac:dyDescent="0.3">
      <c r="A146" s="342" t="s">
        <v>262</v>
      </c>
      <c r="B146" s="342" t="s">
        <v>1281</v>
      </c>
      <c r="C146" s="342">
        <v>0</v>
      </c>
      <c r="D146" s="342">
        <v>0</v>
      </c>
      <c r="E146" s="342">
        <v>0</v>
      </c>
      <c r="F146" s="342">
        <v>1</v>
      </c>
      <c r="G146" s="342">
        <v>0</v>
      </c>
      <c r="H146" s="342">
        <v>0</v>
      </c>
      <c r="I146" s="342">
        <v>0</v>
      </c>
      <c r="J146" s="342">
        <v>0</v>
      </c>
      <c r="K146" s="342"/>
      <c r="L146" s="342" t="s">
        <v>903</v>
      </c>
      <c r="M146" s="342" t="s">
        <v>702</v>
      </c>
      <c r="N146" s="342" t="s">
        <v>699</v>
      </c>
      <c r="O146" s="342" t="s">
        <v>1282</v>
      </c>
      <c r="P146" s="342" t="s">
        <v>1282</v>
      </c>
      <c r="Q146" s="342" t="s">
        <v>1283</v>
      </c>
      <c r="R146" s="342"/>
      <c r="S146" s="342" t="s">
        <v>1268</v>
      </c>
      <c r="T146" s="342" t="s">
        <v>1269</v>
      </c>
      <c r="U146" s="342" t="s">
        <v>26</v>
      </c>
      <c r="V146" s="342" t="s">
        <v>702</v>
      </c>
      <c r="W146" s="342" t="s">
        <v>718</v>
      </c>
      <c r="X146" s="342">
        <f t="shared" si="2"/>
        <v>10</v>
      </c>
    </row>
    <row r="147" spans="1:24" ht="70" x14ac:dyDescent="0.3">
      <c r="A147" s="221" t="s">
        <v>263</v>
      </c>
      <c r="B147" s="342" t="s">
        <v>1284</v>
      </c>
      <c r="C147" s="342">
        <v>0</v>
      </c>
      <c r="D147" s="342">
        <v>0</v>
      </c>
      <c r="E147" s="342">
        <v>0</v>
      </c>
      <c r="F147" s="342">
        <v>1</v>
      </c>
      <c r="G147" s="342">
        <v>0</v>
      </c>
      <c r="H147" s="342">
        <v>0</v>
      </c>
      <c r="I147" s="342">
        <v>0</v>
      </c>
      <c r="J147" s="342">
        <v>0</v>
      </c>
      <c r="K147" s="342"/>
      <c r="L147" s="342" t="s">
        <v>903</v>
      </c>
      <c r="M147" s="342" t="s">
        <v>702</v>
      </c>
      <c r="N147" s="342" t="s">
        <v>699</v>
      </c>
      <c r="O147" s="342" t="s">
        <v>699</v>
      </c>
      <c r="P147" s="342" t="s">
        <v>1285</v>
      </c>
      <c r="Q147" s="342" t="s">
        <v>1286</v>
      </c>
      <c r="R147" s="342"/>
      <c r="S147" s="342" t="s">
        <v>1268</v>
      </c>
      <c r="T147" s="342" t="s">
        <v>1269</v>
      </c>
      <c r="U147" s="342" t="s">
        <v>26</v>
      </c>
      <c r="V147" s="342" t="s">
        <v>702</v>
      </c>
      <c r="W147" s="342" t="s">
        <v>718</v>
      </c>
      <c r="X147" s="342">
        <f t="shared" si="2"/>
        <v>10</v>
      </c>
    </row>
    <row r="148" spans="1:24" ht="112" x14ac:dyDescent="0.3">
      <c r="A148" s="342" t="s">
        <v>264</v>
      </c>
      <c r="B148" s="342" t="s">
        <v>1287</v>
      </c>
      <c r="C148" s="342">
        <v>0</v>
      </c>
      <c r="D148" s="342">
        <v>0</v>
      </c>
      <c r="E148" s="342">
        <v>0</v>
      </c>
      <c r="F148" s="342">
        <v>1</v>
      </c>
      <c r="G148" s="342">
        <v>0</v>
      </c>
      <c r="H148" s="342">
        <v>0</v>
      </c>
      <c r="I148" s="342">
        <v>0</v>
      </c>
      <c r="J148" s="342">
        <v>0</v>
      </c>
      <c r="K148" s="342"/>
      <c r="L148" s="342" t="s">
        <v>903</v>
      </c>
      <c r="M148" s="342" t="s">
        <v>702</v>
      </c>
      <c r="N148" s="342" t="s">
        <v>699</v>
      </c>
      <c r="O148" s="342" t="s">
        <v>699</v>
      </c>
      <c r="P148" s="342" t="s">
        <v>1288</v>
      </c>
      <c r="Q148" s="342" t="s">
        <v>1289</v>
      </c>
      <c r="R148" s="342"/>
      <c r="S148" s="342" t="s">
        <v>1290</v>
      </c>
      <c r="T148" s="342" t="s">
        <v>1049</v>
      </c>
      <c r="U148" s="342" t="s">
        <v>26</v>
      </c>
      <c r="V148" s="342" t="s">
        <v>702</v>
      </c>
      <c r="W148" s="342" t="s">
        <v>718</v>
      </c>
      <c r="X148" s="342">
        <f t="shared" si="2"/>
        <v>10</v>
      </c>
    </row>
    <row r="149" spans="1:24" ht="70" x14ac:dyDescent="0.3">
      <c r="A149" s="221" t="s">
        <v>266</v>
      </c>
      <c r="B149" s="342" t="s">
        <v>1291</v>
      </c>
      <c r="C149" s="342">
        <v>0</v>
      </c>
      <c r="D149" s="342">
        <v>0</v>
      </c>
      <c r="E149" s="342">
        <v>0</v>
      </c>
      <c r="F149" s="342">
        <v>1</v>
      </c>
      <c r="G149" s="342">
        <v>0</v>
      </c>
      <c r="H149" s="342">
        <v>0</v>
      </c>
      <c r="I149" s="342">
        <v>0</v>
      </c>
      <c r="J149" s="342">
        <v>0</v>
      </c>
      <c r="K149" s="342"/>
      <c r="L149" s="342" t="s">
        <v>903</v>
      </c>
      <c r="M149" s="342" t="s">
        <v>702</v>
      </c>
      <c r="N149" s="342" t="s">
        <v>699</v>
      </c>
      <c r="O149" s="342" t="s">
        <v>699</v>
      </c>
      <c r="P149" s="342" t="s">
        <v>1292</v>
      </c>
      <c r="Q149" s="342" t="s">
        <v>699</v>
      </c>
      <c r="R149" s="342"/>
      <c r="S149" s="342" t="s">
        <v>1293</v>
      </c>
      <c r="T149" s="342" t="s">
        <v>1294</v>
      </c>
      <c r="U149" s="342" t="s">
        <v>26</v>
      </c>
      <c r="V149" s="342" t="s">
        <v>702</v>
      </c>
      <c r="W149" s="342" t="s">
        <v>718</v>
      </c>
      <c r="X149" s="342">
        <f t="shared" si="2"/>
        <v>10</v>
      </c>
    </row>
    <row r="150" spans="1:24" ht="224" x14ac:dyDescent="0.3">
      <c r="A150" s="342" t="s">
        <v>268</v>
      </c>
      <c r="B150" s="342" t="s">
        <v>1295</v>
      </c>
      <c r="C150" s="342">
        <v>0</v>
      </c>
      <c r="D150" s="342">
        <v>0</v>
      </c>
      <c r="E150" s="342">
        <v>0</v>
      </c>
      <c r="F150" s="342">
        <v>1</v>
      </c>
      <c r="G150" s="342">
        <v>0</v>
      </c>
      <c r="H150" s="342">
        <v>0</v>
      </c>
      <c r="I150" s="342">
        <v>0</v>
      </c>
      <c r="J150" s="342">
        <v>0</v>
      </c>
      <c r="K150" s="342"/>
      <c r="L150" s="342" t="s">
        <v>903</v>
      </c>
      <c r="M150" s="342" t="s">
        <v>702</v>
      </c>
      <c r="N150" s="342" t="s">
        <v>699</v>
      </c>
      <c r="O150" s="342" t="s">
        <v>1296</v>
      </c>
      <c r="P150" s="342" t="s">
        <v>1296</v>
      </c>
      <c r="Q150" s="342" t="s">
        <v>1296</v>
      </c>
      <c r="R150" s="342"/>
      <c r="S150" s="342" t="s">
        <v>1232</v>
      </c>
      <c r="T150" s="342" t="s">
        <v>1233</v>
      </c>
      <c r="U150" s="342" t="s">
        <v>46</v>
      </c>
      <c r="V150" s="342" t="s">
        <v>702</v>
      </c>
      <c r="W150" s="342" t="s">
        <v>718</v>
      </c>
      <c r="X150" s="342">
        <f t="shared" si="2"/>
        <v>10</v>
      </c>
    </row>
    <row r="151" spans="1:24" ht="183" customHeight="1" x14ac:dyDescent="0.3">
      <c r="A151" s="354" t="s">
        <v>270</v>
      </c>
      <c r="B151" s="354" t="s">
        <v>1297</v>
      </c>
      <c r="C151" s="342">
        <v>0</v>
      </c>
      <c r="D151" s="342">
        <v>0</v>
      </c>
      <c r="E151" s="342">
        <v>0</v>
      </c>
      <c r="F151" s="342">
        <v>1</v>
      </c>
      <c r="G151" s="342">
        <v>0</v>
      </c>
      <c r="H151" s="342">
        <v>0</v>
      </c>
      <c r="I151" s="342">
        <v>0</v>
      </c>
      <c r="J151" s="342">
        <v>1</v>
      </c>
      <c r="K151" s="342"/>
      <c r="L151" s="342" t="s">
        <v>903</v>
      </c>
      <c r="M151" s="342" t="s">
        <v>702</v>
      </c>
      <c r="N151" s="342" t="s">
        <v>904</v>
      </c>
      <c r="O151" s="342" t="s">
        <v>699</v>
      </c>
      <c r="P151" s="342" t="s">
        <v>1298</v>
      </c>
      <c r="Q151" s="342" t="s">
        <v>1299</v>
      </c>
      <c r="R151" s="342"/>
      <c r="S151" s="342" t="s">
        <v>1300</v>
      </c>
      <c r="T151" s="342" t="s">
        <v>1301</v>
      </c>
      <c r="U151" s="342" t="s">
        <v>26</v>
      </c>
      <c r="V151" s="342" t="s">
        <v>702</v>
      </c>
      <c r="W151" s="342" t="s">
        <v>769</v>
      </c>
      <c r="X151" s="342">
        <f t="shared" si="2"/>
        <v>20</v>
      </c>
    </row>
    <row r="152" spans="1:24" ht="181.5" customHeight="1" x14ac:dyDescent="0.3">
      <c r="A152" s="354" t="s">
        <v>272</v>
      </c>
      <c r="B152" s="354" t="s">
        <v>1302</v>
      </c>
      <c r="C152" s="342">
        <v>0</v>
      </c>
      <c r="D152" s="342">
        <v>0</v>
      </c>
      <c r="E152" s="342">
        <v>0</v>
      </c>
      <c r="F152" s="342">
        <v>1</v>
      </c>
      <c r="G152" s="342">
        <v>0</v>
      </c>
      <c r="H152" s="342">
        <v>0</v>
      </c>
      <c r="I152" s="342">
        <v>0</v>
      </c>
      <c r="J152" s="342">
        <v>1</v>
      </c>
      <c r="K152" s="342"/>
      <c r="L152" s="342" t="s">
        <v>903</v>
      </c>
      <c r="M152" s="342" t="s">
        <v>702</v>
      </c>
      <c r="N152" s="342" t="s">
        <v>904</v>
      </c>
      <c r="O152" s="342" t="s">
        <v>699</v>
      </c>
      <c r="P152" s="342" t="s">
        <v>1303</v>
      </c>
      <c r="Q152" s="342" t="s">
        <v>1304</v>
      </c>
      <c r="R152" s="342"/>
      <c r="S152" s="342" t="s">
        <v>1305</v>
      </c>
      <c r="T152" s="342" t="s">
        <v>1306</v>
      </c>
      <c r="U152" s="342" t="s">
        <v>26</v>
      </c>
      <c r="V152" s="342" t="s">
        <v>702</v>
      </c>
      <c r="W152" s="342" t="s">
        <v>769</v>
      </c>
      <c r="X152" s="342">
        <f t="shared" si="2"/>
        <v>20</v>
      </c>
    </row>
    <row r="153" spans="1:24" ht="204.75" customHeight="1" x14ac:dyDescent="0.3">
      <c r="A153" s="354" t="s">
        <v>274</v>
      </c>
      <c r="B153" s="354" t="s">
        <v>1307</v>
      </c>
      <c r="C153" s="342">
        <v>0</v>
      </c>
      <c r="D153" s="342">
        <v>0</v>
      </c>
      <c r="E153" s="342">
        <v>0</v>
      </c>
      <c r="F153" s="342">
        <v>1</v>
      </c>
      <c r="G153" s="342">
        <v>0</v>
      </c>
      <c r="H153" s="342">
        <v>0</v>
      </c>
      <c r="I153" s="342">
        <v>0</v>
      </c>
      <c r="J153" s="342">
        <v>1</v>
      </c>
      <c r="K153" s="342"/>
      <c r="L153" s="342" t="s">
        <v>903</v>
      </c>
      <c r="M153" s="342" t="s">
        <v>702</v>
      </c>
      <c r="N153" s="342" t="s">
        <v>904</v>
      </c>
      <c r="O153" s="342" t="s">
        <v>699</v>
      </c>
      <c r="P153" s="342" t="s">
        <v>1308</v>
      </c>
      <c r="Q153" s="342" t="s">
        <v>1309</v>
      </c>
      <c r="R153" s="342"/>
      <c r="S153" s="342" t="s">
        <v>1310</v>
      </c>
      <c r="T153" s="342" t="s">
        <v>1311</v>
      </c>
      <c r="U153" s="342" t="s">
        <v>26</v>
      </c>
      <c r="V153" s="342" t="s">
        <v>702</v>
      </c>
      <c r="W153" s="342" t="s">
        <v>769</v>
      </c>
      <c r="X153" s="342">
        <f t="shared" si="2"/>
        <v>20</v>
      </c>
    </row>
    <row r="154" spans="1:24" ht="203.25" customHeight="1" x14ac:dyDescent="0.3">
      <c r="A154" s="354" t="s">
        <v>276</v>
      </c>
      <c r="B154" s="354" t="s">
        <v>1312</v>
      </c>
      <c r="C154" s="342">
        <v>0</v>
      </c>
      <c r="D154" s="342">
        <v>0</v>
      </c>
      <c r="E154" s="342">
        <v>0</v>
      </c>
      <c r="F154" s="342">
        <v>1</v>
      </c>
      <c r="G154" s="342">
        <v>0</v>
      </c>
      <c r="H154" s="342">
        <v>0</v>
      </c>
      <c r="I154" s="342">
        <v>0</v>
      </c>
      <c r="J154" s="342">
        <v>0</v>
      </c>
      <c r="K154" s="342"/>
      <c r="L154" s="342" t="s">
        <v>903</v>
      </c>
      <c r="M154" s="342" t="s">
        <v>702</v>
      </c>
      <c r="N154" s="342" t="s">
        <v>904</v>
      </c>
      <c r="O154" s="342" t="s">
        <v>699</v>
      </c>
      <c r="P154" s="342" t="s">
        <v>1313</v>
      </c>
      <c r="Q154" s="342" t="s">
        <v>1314</v>
      </c>
      <c r="R154" s="342" t="s">
        <v>895</v>
      </c>
      <c r="S154" s="342" t="s">
        <v>1310</v>
      </c>
      <c r="T154" s="342" t="s">
        <v>1315</v>
      </c>
      <c r="U154" s="342" t="s">
        <v>26</v>
      </c>
      <c r="V154" s="342" t="s">
        <v>702</v>
      </c>
      <c r="W154" s="342" t="s">
        <v>769</v>
      </c>
      <c r="X154" s="342">
        <f t="shared" si="2"/>
        <v>20</v>
      </c>
    </row>
    <row r="155" spans="1:24" ht="168" x14ac:dyDescent="0.3">
      <c r="A155" s="354" t="s">
        <v>278</v>
      </c>
      <c r="B155" s="354" t="s">
        <v>1316</v>
      </c>
      <c r="C155" s="342">
        <v>0</v>
      </c>
      <c r="D155" s="342">
        <v>0</v>
      </c>
      <c r="E155" s="342">
        <v>0</v>
      </c>
      <c r="F155" s="342">
        <v>1</v>
      </c>
      <c r="G155" s="342">
        <v>0</v>
      </c>
      <c r="H155" s="342">
        <v>0</v>
      </c>
      <c r="I155" s="342">
        <v>0</v>
      </c>
      <c r="J155" s="342">
        <v>0</v>
      </c>
      <c r="K155" s="342"/>
      <c r="L155" s="342" t="s">
        <v>903</v>
      </c>
      <c r="M155" s="342" t="s">
        <v>702</v>
      </c>
      <c r="N155" s="342" t="s">
        <v>904</v>
      </c>
      <c r="O155" s="342" t="s">
        <v>699</v>
      </c>
      <c r="P155" s="342" t="s">
        <v>1317</v>
      </c>
      <c r="Q155" s="342" t="s">
        <v>1318</v>
      </c>
      <c r="R155" s="342"/>
      <c r="S155" s="342" t="s">
        <v>1319</v>
      </c>
      <c r="T155" s="342" t="s">
        <v>1320</v>
      </c>
      <c r="U155" s="342" t="s">
        <v>26</v>
      </c>
      <c r="V155" s="342" t="s">
        <v>702</v>
      </c>
      <c r="W155" s="342" t="s">
        <v>769</v>
      </c>
      <c r="X155" s="342">
        <f t="shared" si="2"/>
        <v>20</v>
      </c>
    </row>
    <row r="156" spans="1:24" ht="165.75" customHeight="1" x14ac:dyDescent="0.3">
      <c r="A156" s="342" t="s">
        <v>280</v>
      </c>
      <c r="B156" s="342" t="s">
        <v>1321</v>
      </c>
      <c r="C156" s="342">
        <v>0</v>
      </c>
      <c r="D156" s="342">
        <v>0</v>
      </c>
      <c r="E156" s="342">
        <v>0</v>
      </c>
      <c r="F156" s="342">
        <v>1</v>
      </c>
      <c r="G156" s="342">
        <v>0</v>
      </c>
      <c r="H156" s="342">
        <v>0</v>
      </c>
      <c r="I156" s="342">
        <v>0</v>
      </c>
      <c r="J156" s="342">
        <v>1</v>
      </c>
      <c r="K156" s="342"/>
      <c r="L156" s="342" t="s">
        <v>903</v>
      </c>
      <c r="M156" s="342" t="s">
        <v>702</v>
      </c>
      <c r="N156" s="342" t="s">
        <v>904</v>
      </c>
      <c r="O156" s="342" t="s">
        <v>699</v>
      </c>
      <c r="P156" s="342" t="s">
        <v>1322</v>
      </c>
      <c r="Q156" s="342" t="s">
        <v>1323</v>
      </c>
      <c r="R156" s="342"/>
      <c r="S156" s="342" t="s">
        <v>1324</v>
      </c>
      <c r="T156" s="342" t="s">
        <v>1325</v>
      </c>
      <c r="U156" s="342" t="s">
        <v>26</v>
      </c>
      <c r="V156" s="342" t="s">
        <v>702</v>
      </c>
      <c r="W156" s="342" t="s">
        <v>718</v>
      </c>
      <c r="X156" s="342">
        <f t="shared" si="2"/>
        <v>10</v>
      </c>
    </row>
    <row r="157" spans="1:24" ht="216" customHeight="1" x14ac:dyDescent="0.3">
      <c r="A157" s="342" t="s">
        <v>282</v>
      </c>
      <c r="B157" s="342" t="s">
        <v>1326</v>
      </c>
      <c r="C157" s="342">
        <v>0</v>
      </c>
      <c r="D157" s="342">
        <v>0</v>
      </c>
      <c r="E157" s="342">
        <v>0</v>
      </c>
      <c r="F157" s="342">
        <v>1</v>
      </c>
      <c r="G157" s="342">
        <v>0</v>
      </c>
      <c r="H157" s="342">
        <v>0</v>
      </c>
      <c r="I157" s="342">
        <v>0</v>
      </c>
      <c r="J157" s="342">
        <v>1</v>
      </c>
      <c r="K157" s="342"/>
      <c r="L157" s="342" t="s">
        <v>903</v>
      </c>
      <c r="M157" s="342" t="s">
        <v>702</v>
      </c>
      <c r="N157" s="342" t="s">
        <v>904</v>
      </c>
      <c r="O157" s="342" t="s">
        <v>699</v>
      </c>
      <c r="P157" s="342" t="s">
        <v>1327</v>
      </c>
      <c r="Q157" s="342" t="s">
        <v>1328</v>
      </c>
      <c r="R157" s="342"/>
      <c r="S157" s="342" t="s">
        <v>1329</v>
      </c>
      <c r="T157" s="342" t="s">
        <v>1330</v>
      </c>
      <c r="U157" s="342" t="s">
        <v>26</v>
      </c>
      <c r="V157" s="342" t="s">
        <v>702</v>
      </c>
      <c r="W157" s="342" t="s">
        <v>718</v>
      </c>
      <c r="X157" s="342">
        <f t="shared" si="2"/>
        <v>10</v>
      </c>
    </row>
    <row r="158" spans="1:24" ht="210.75" customHeight="1" x14ac:dyDescent="0.3">
      <c r="A158" s="342" t="s">
        <v>284</v>
      </c>
      <c r="B158" s="342" t="s">
        <v>1331</v>
      </c>
      <c r="C158" s="342">
        <v>0</v>
      </c>
      <c r="D158" s="342">
        <v>0</v>
      </c>
      <c r="E158" s="342">
        <v>0</v>
      </c>
      <c r="F158" s="342">
        <v>1</v>
      </c>
      <c r="G158" s="342">
        <v>0</v>
      </c>
      <c r="H158" s="342">
        <v>0</v>
      </c>
      <c r="I158" s="342">
        <v>0</v>
      </c>
      <c r="J158" s="342">
        <v>0</v>
      </c>
      <c r="K158" s="342"/>
      <c r="L158" s="342" t="s">
        <v>903</v>
      </c>
      <c r="M158" s="342" t="s">
        <v>702</v>
      </c>
      <c r="N158" s="342" t="s">
        <v>904</v>
      </c>
      <c r="O158" s="342" t="s">
        <v>699</v>
      </c>
      <c r="P158" s="342" t="s">
        <v>1332</v>
      </c>
      <c r="Q158" s="342" t="s">
        <v>1333</v>
      </c>
      <c r="R158" s="342" t="s">
        <v>895</v>
      </c>
      <c r="S158" s="342" t="s">
        <v>1329</v>
      </c>
      <c r="T158" s="342" t="s">
        <v>1334</v>
      </c>
      <c r="U158" s="342" t="s">
        <v>26</v>
      </c>
      <c r="V158" s="342" t="s">
        <v>702</v>
      </c>
      <c r="W158" s="342" t="s">
        <v>718</v>
      </c>
      <c r="X158" s="342">
        <f t="shared" si="2"/>
        <v>10</v>
      </c>
    </row>
    <row r="159" spans="1:24" ht="175.5" customHeight="1" x14ac:dyDescent="0.3">
      <c r="A159" s="342" t="s">
        <v>286</v>
      </c>
      <c r="B159" s="342" t="s">
        <v>1335</v>
      </c>
      <c r="C159" s="342">
        <v>0</v>
      </c>
      <c r="D159" s="342">
        <v>0</v>
      </c>
      <c r="E159" s="342">
        <v>0</v>
      </c>
      <c r="F159" s="342">
        <v>1</v>
      </c>
      <c r="G159" s="342">
        <v>0</v>
      </c>
      <c r="H159" s="342">
        <v>0</v>
      </c>
      <c r="I159" s="342">
        <v>0</v>
      </c>
      <c r="J159" s="342">
        <v>0</v>
      </c>
      <c r="K159" s="342"/>
      <c r="L159" s="342" t="s">
        <v>903</v>
      </c>
      <c r="M159" s="342" t="s">
        <v>702</v>
      </c>
      <c r="N159" s="342" t="s">
        <v>904</v>
      </c>
      <c r="O159" s="342" t="s">
        <v>699</v>
      </c>
      <c r="P159" s="342" t="s">
        <v>1336</v>
      </c>
      <c r="Q159" s="342" t="s">
        <v>1337</v>
      </c>
      <c r="R159" s="342"/>
      <c r="S159" s="342" t="s">
        <v>1338</v>
      </c>
      <c r="T159" s="342" t="s">
        <v>1339</v>
      </c>
      <c r="U159" s="342" t="s">
        <v>26</v>
      </c>
      <c r="V159" s="342" t="s">
        <v>702</v>
      </c>
      <c r="W159" s="342" t="s">
        <v>718</v>
      </c>
      <c r="X159" s="342">
        <f t="shared" si="2"/>
        <v>10</v>
      </c>
    </row>
    <row r="160" spans="1:24" ht="192.75" customHeight="1" x14ac:dyDescent="0.3">
      <c r="A160" s="342" t="s">
        <v>288</v>
      </c>
      <c r="B160" s="342" t="s">
        <v>1340</v>
      </c>
      <c r="C160" s="342">
        <v>0</v>
      </c>
      <c r="D160" s="342">
        <v>0</v>
      </c>
      <c r="E160" s="342">
        <v>0</v>
      </c>
      <c r="F160" s="342">
        <v>1</v>
      </c>
      <c r="G160" s="342">
        <v>0</v>
      </c>
      <c r="H160" s="342">
        <v>0</v>
      </c>
      <c r="I160" s="342">
        <v>0</v>
      </c>
      <c r="J160" s="342">
        <v>0</v>
      </c>
      <c r="K160" s="342"/>
      <c r="L160" s="342" t="s">
        <v>700</v>
      </c>
      <c r="M160" s="342" t="s">
        <v>702</v>
      </c>
      <c r="N160" s="342" t="s">
        <v>904</v>
      </c>
      <c r="O160" s="342" t="s">
        <v>1341</v>
      </c>
      <c r="P160" s="342" t="s">
        <v>1341</v>
      </c>
      <c r="Q160" s="342" t="s">
        <v>1341</v>
      </c>
      <c r="R160" s="342"/>
      <c r="S160" s="342" t="s">
        <v>1342</v>
      </c>
      <c r="T160" s="342" t="s">
        <v>1343</v>
      </c>
      <c r="U160" s="342" t="s">
        <v>700</v>
      </c>
      <c r="V160" s="342" t="s">
        <v>702</v>
      </c>
      <c r="W160" s="342"/>
      <c r="X160" s="342"/>
    </row>
    <row r="161" spans="1:24" ht="168" x14ac:dyDescent="0.3">
      <c r="A161" s="342" t="s">
        <v>290</v>
      </c>
      <c r="B161" s="342" t="s">
        <v>1344</v>
      </c>
      <c r="C161" s="342">
        <v>0</v>
      </c>
      <c r="D161" s="342">
        <v>0</v>
      </c>
      <c r="E161" s="342">
        <v>0</v>
      </c>
      <c r="F161" s="342">
        <v>1</v>
      </c>
      <c r="G161" s="342">
        <v>0</v>
      </c>
      <c r="H161" s="342">
        <v>0</v>
      </c>
      <c r="I161" s="342">
        <v>0</v>
      </c>
      <c r="J161" s="342">
        <v>1</v>
      </c>
      <c r="K161" s="342"/>
      <c r="L161" s="342" t="s">
        <v>903</v>
      </c>
      <c r="M161" s="342" t="s">
        <v>702</v>
      </c>
      <c r="N161" s="342" t="s">
        <v>904</v>
      </c>
      <c r="O161" s="342" t="s">
        <v>699</v>
      </c>
      <c r="P161" s="342" t="s">
        <v>1345</v>
      </c>
      <c r="Q161" s="342" t="s">
        <v>1346</v>
      </c>
      <c r="R161" s="342"/>
      <c r="S161" s="342" t="s">
        <v>1347</v>
      </c>
      <c r="T161" s="342" t="s">
        <v>1348</v>
      </c>
      <c r="U161" s="342" t="s">
        <v>26</v>
      </c>
      <c r="V161" s="342" t="s">
        <v>702</v>
      </c>
      <c r="W161" s="342" t="s">
        <v>727</v>
      </c>
      <c r="X161" s="342">
        <f t="shared" si="2"/>
        <v>5</v>
      </c>
    </row>
    <row r="162" spans="1:24" ht="168" x14ac:dyDescent="0.3">
      <c r="A162" s="354" t="s">
        <v>109</v>
      </c>
      <c r="B162" s="354" t="s">
        <v>1349</v>
      </c>
      <c r="C162" s="342">
        <v>0</v>
      </c>
      <c r="D162" s="342">
        <v>1</v>
      </c>
      <c r="E162" s="342">
        <v>0</v>
      </c>
      <c r="F162" s="342">
        <v>0</v>
      </c>
      <c r="G162" s="342">
        <v>0</v>
      </c>
      <c r="H162" s="342">
        <v>0</v>
      </c>
      <c r="I162" s="342">
        <v>0</v>
      </c>
      <c r="J162" s="342">
        <v>0</v>
      </c>
      <c r="K162" s="342"/>
      <c r="L162" s="342" t="s">
        <v>767</v>
      </c>
      <c r="M162" s="342" t="s">
        <v>702</v>
      </c>
      <c r="N162" s="342" t="s">
        <v>699</v>
      </c>
      <c r="O162" s="342" t="s">
        <v>699</v>
      </c>
      <c r="P162" s="342" t="s">
        <v>699</v>
      </c>
      <c r="Q162" s="342" t="s">
        <v>699</v>
      </c>
      <c r="R162" s="342"/>
      <c r="S162" s="342" t="s">
        <v>1350</v>
      </c>
      <c r="T162" s="342" t="s">
        <v>1351</v>
      </c>
      <c r="U162" s="342" t="s">
        <v>26</v>
      </c>
      <c r="V162" s="342" t="s">
        <v>702</v>
      </c>
      <c r="W162" s="342" t="s">
        <v>769</v>
      </c>
      <c r="X162" s="342">
        <f t="shared" si="2"/>
        <v>20</v>
      </c>
    </row>
    <row r="163" spans="1:24" ht="112" x14ac:dyDescent="0.3">
      <c r="A163" s="354" t="s">
        <v>111</v>
      </c>
      <c r="B163" s="354" t="s">
        <v>1352</v>
      </c>
      <c r="C163" s="342">
        <v>0</v>
      </c>
      <c r="D163" s="342">
        <v>1</v>
      </c>
      <c r="E163" s="342">
        <v>0</v>
      </c>
      <c r="F163" s="342">
        <v>0</v>
      </c>
      <c r="G163" s="342">
        <v>0</v>
      </c>
      <c r="H163" s="342">
        <v>0</v>
      </c>
      <c r="I163" s="342">
        <v>0</v>
      </c>
      <c r="J163" s="342">
        <v>0</v>
      </c>
      <c r="K163" s="342"/>
      <c r="L163" s="342" t="s">
        <v>767</v>
      </c>
      <c r="M163" s="342" t="s">
        <v>702</v>
      </c>
      <c r="N163" s="342" t="s">
        <v>699</v>
      </c>
      <c r="O163" s="342" t="s">
        <v>699</v>
      </c>
      <c r="P163" s="342" t="s">
        <v>1353</v>
      </c>
      <c r="Q163" s="342" t="s">
        <v>1354</v>
      </c>
      <c r="R163" s="342"/>
      <c r="S163" s="342" t="s">
        <v>1355</v>
      </c>
      <c r="T163" s="342" t="s">
        <v>1356</v>
      </c>
      <c r="U163" s="342" t="s">
        <v>26</v>
      </c>
      <c r="V163" s="342" t="s">
        <v>702</v>
      </c>
      <c r="W163" s="342" t="s">
        <v>769</v>
      </c>
      <c r="X163" s="342">
        <f t="shared" si="2"/>
        <v>20</v>
      </c>
    </row>
    <row r="164" spans="1:24" ht="112" x14ac:dyDescent="0.3">
      <c r="A164" s="354" t="s">
        <v>113</v>
      </c>
      <c r="B164" s="354" t="s">
        <v>1357</v>
      </c>
      <c r="C164" s="342">
        <v>0</v>
      </c>
      <c r="D164" s="342">
        <v>1</v>
      </c>
      <c r="E164" s="342">
        <v>0</v>
      </c>
      <c r="F164" s="342">
        <v>0</v>
      </c>
      <c r="G164" s="342">
        <v>0</v>
      </c>
      <c r="H164" s="342">
        <v>0</v>
      </c>
      <c r="I164" s="342">
        <v>0</v>
      </c>
      <c r="J164" s="342">
        <v>0</v>
      </c>
      <c r="K164" s="342"/>
      <c r="L164" s="342" t="s">
        <v>767</v>
      </c>
      <c r="M164" s="342" t="s">
        <v>702</v>
      </c>
      <c r="N164" s="342" t="s">
        <v>699</v>
      </c>
      <c r="O164" s="342" t="s">
        <v>1358</v>
      </c>
      <c r="P164" s="342" t="s">
        <v>1358</v>
      </c>
      <c r="Q164" s="342" t="s">
        <v>1358</v>
      </c>
      <c r="R164" s="342"/>
      <c r="S164" s="342" t="s">
        <v>1359</v>
      </c>
      <c r="T164" s="342" t="s">
        <v>1360</v>
      </c>
      <c r="U164" s="342" t="s">
        <v>26</v>
      </c>
      <c r="V164" s="342" t="s">
        <v>702</v>
      </c>
      <c r="W164" s="342" t="s">
        <v>769</v>
      </c>
      <c r="X164" s="342">
        <f t="shared" si="2"/>
        <v>20</v>
      </c>
    </row>
    <row r="165" spans="1:24" ht="168" x14ac:dyDescent="0.3">
      <c r="A165" s="342" t="s">
        <v>115</v>
      </c>
      <c r="B165" s="342" t="s">
        <v>1361</v>
      </c>
      <c r="C165" s="342">
        <v>0</v>
      </c>
      <c r="D165" s="342">
        <v>1</v>
      </c>
      <c r="E165" s="342">
        <v>0</v>
      </c>
      <c r="F165" s="342">
        <v>0</v>
      </c>
      <c r="G165" s="342">
        <v>0</v>
      </c>
      <c r="H165" s="342">
        <v>0</v>
      </c>
      <c r="I165" s="342">
        <v>0</v>
      </c>
      <c r="J165" s="342">
        <v>0</v>
      </c>
      <c r="K165" s="342"/>
      <c r="L165" s="342" t="s">
        <v>767</v>
      </c>
      <c r="M165" s="342" t="s">
        <v>702</v>
      </c>
      <c r="N165" s="342" t="s">
        <v>699</v>
      </c>
      <c r="O165" s="342" t="s">
        <v>699</v>
      </c>
      <c r="P165" s="342" t="s">
        <v>699</v>
      </c>
      <c r="Q165" s="342" t="s">
        <v>699</v>
      </c>
      <c r="R165" s="342"/>
      <c r="S165" s="342" t="s">
        <v>1149</v>
      </c>
      <c r="T165" s="342" t="s">
        <v>1150</v>
      </c>
      <c r="U165" s="342" t="s">
        <v>26</v>
      </c>
      <c r="V165" s="342" t="s">
        <v>702</v>
      </c>
      <c r="W165" s="342" t="s">
        <v>718</v>
      </c>
      <c r="X165" s="342">
        <f t="shared" si="2"/>
        <v>10</v>
      </c>
    </row>
    <row r="166" spans="1:24" ht="196" x14ac:dyDescent="0.3">
      <c r="A166" s="342" t="s">
        <v>117</v>
      </c>
      <c r="B166" s="342" t="s">
        <v>1362</v>
      </c>
      <c r="C166" s="342">
        <v>0</v>
      </c>
      <c r="D166" s="342">
        <v>1</v>
      </c>
      <c r="E166" s="342">
        <v>0</v>
      </c>
      <c r="F166" s="342">
        <v>0</v>
      </c>
      <c r="G166" s="342">
        <v>0</v>
      </c>
      <c r="H166" s="342">
        <v>0</v>
      </c>
      <c r="I166" s="342">
        <v>0</v>
      </c>
      <c r="J166" s="342">
        <v>1</v>
      </c>
      <c r="K166" s="342"/>
      <c r="L166" s="342" t="s">
        <v>767</v>
      </c>
      <c r="M166" s="342" t="s">
        <v>702</v>
      </c>
      <c r="N166" s="342" t="s">
        <v>699</v>
      </c>
      <c r="O166" s="342" t="s">
        <v>699</v>
      </c>
      <c r="P166" s="342" t="s">
        <v>1363</v>
      </c>
      <c r="Q166" s="342" t="s">
        <v>1364</v>
      </c>
      <c r="R166" s="342"/>
      <c r="S166" s="342" t="s">
        <v>1365</v>
      </c>
      <c r="T166" s="342" t="s">
        <v>1366</v>
      </c>
      <c r="U166" s="342" t="s">
        <v>26</v>
      </c>
      <c r="V166" s="342" t="s">
        <v>702</v>
      </c>
      <c r="W166" s="342" t="s">
        <v>718</v>
      </c>
      <c r="X166" s="342">
        <f t="shared" si="2"/>
        <v>10</v>
      </c>
    </row>
    <row r="167" spans="1:24" ht="196.5" customHeight="1" x14ac:dyDescent="0.3">
      <c r="A167" s="342" t="s">
        <v>119</v>
      </c>
      <c r="B167" s="342" t="s">
        <v>1367</v>
      </c>
      <c r="C167" s="342">
        <v>0</v>
      </c>
      <c r="D167" s="342">
        <v>1</v>
      </c>
      <c r="E167" s="342">
        <v>0</v>
      </c>
      <c r="F167" s="342">
        <v>0</v>
      </c>
      <c r="G167" s="342">
        <v>0</v>
      </c>
      <c r="H167" s="342">
        <v>0</v>
      </c>
      <c r="I167" s="342">
        <v>0</v>
      </c>
      <c r="J167" s="342">
        <v>0</v>
      </c>
      <c r="K167" s="342"/>
      <c r="L167" s="342" t="s">
        <v>767</v>
      </c>
      <c r="M167" s="342" t="s">
        <v>702</v>
      </c>
      <c r="N167" s="342" t="s">
        <v>699</v>
      </c>
      <c r="O167" s="342" t="s">
        <v>699</v>
      </c>
      <c r="P167" s="342" t="s">
        <v>1368</v>
      </c>
      <c r="Q167" s="342" t="s">
        <v>1369</v>
      </c>
      <c r="R167" s="342"/>
      <c r="S167" s="342" t="s">
        <v>1370</v>
      </c>
      <c r="T167" s="342" t="s">
        <v>1371</v>
      </c>
      <c r="U167" s="342" t="s">
        <v>26</v>
      </c>
      <c r="V167" s="342" t="s">
        <v>702</v>
      </c>
      <c r="W167" s="342" t="s">
        <v>718</v>
      </c>
      <c r="X167" s="342">
        <f t="shared" si="2"/>
        <v>10</v>
      </c>
    </row>
    <row r="168" spans="1:24" ht="154" x14ac:dyDescent="0.3">
      <c r="A168" s="342" t="s">
        <v>121</v>
      </c>
      <c r="B168" s="342" t="s">
        <v>1372</v>
      </c>
      <c r="C168" s="342">
        <v>0</v>
      </c>
      <c r="D168" s="342">
        <v>1</v>
      </c>
      <c r="E168" s="342">
        <v>0</v>
      </c>
      <c r="F168" s="342">
        <v>0</v>
      </c>
      <c r="G168" s="342">
        <v>0</v>
      </c>
      <c r="H168" s="342">
        <v>0</v>
      </c>
      <c r="I168" s="342">
        <v>0</v>
      </c>
      <c r="J168" s="342">
        <v>0</v>
      </c>
      <c r="K168" s="342"/>
      <c r="L168" s="342" t="s">
        <v>767</v>
      </c>
      <c r="M168" s="342" t="s">
        <v>702</v>
      </c>
      <c r="N168" s="342" t="s">
        <v>699</v>
      </c>
      <c r="O168" s="342" t="s">
        <v>699</v>
      </c>
      <c r="P168" s="342" t="s">
        <v>1373</v>
      </c>
      <c r="Q168" s="342" t="s">
        <v>1374</v>
      </c>
      <c r="R168" s="342"/>
      <c r="S168" s="342" t="s">
        <v>1375</v>
      </c>
      <c r="T168" s="342" t="s">
        <v>1376</v>
      </c>
      <c r="U168" s="342" t="s">
        <v>26</v>
      </c>
      <c r="V168" s="342" t="s">
        <v>702</v>
      </c>
      <c r="W168" s="342" t="s">
        <v>718</v>
      </c>
      <c r="X168" s="342">
        <f t="shared" si="2"/>
        <v>10</v>
      </c>
    </row>
    <row r="169" spans="1:24" ht="409.5" x14ac:dyDescent="0.3">
      <c r="A169" s="342" t="s">
        <v>123</v>
      </c>
      <c r="B169" s="342" t="s">
        <v>1377</v>
      </c>
      <c r="C169" s="342">
        <v>0</v>
      </c>
      <c r="D169" s="342">
        <v>1</v>
      </c>
      <c r="E169" s="342">
        <v>0</v>
      </c>
      <c r="F169" s="342">
        <v>0</v>
      </c>
      <c r="G169" s="342">
        <v>0</v>
      </c>
      <c r="H169" s="342">
        <v>0</v>
      </c>
      <c r="I169" s="342">
        <v>0</v>
      </c>
      <c r="J169" s="342">
        <v>1</v>
      </c>
      <c r="K169" s="342"/>
      <c r="L169" s="342" t="s">
        <v>767</v>
      </c>
      <c r="M169" s="342" t="s">
        <v>702</v>
      </c>
      <c r="N169" s="342" t="s">
        <v>699</v>
      </c>
      <c r="O169" s="342" t="s">
        <v>699</v>
      </c>
      <c r="P169" s="342" t="s">
        <v>1378</v>
      </c>
      <c r="Q169" s="342" t="s">
        <v>1379</v>
      </c>
      <c r="R169" s="342"/>
      <c r="S169" s="342" t="s">
        <v>1380</v>
      </c>
      <c r="T169" s="342" t="s">
        <v>1381</v>
      </c>
      <c r="U169" s="342" t="s">
        <v>26</v>
      </c>
      <c r="V169" s="342" t="s">
        <v>702</v>
      </c>
      <c r="W169" s="342" t="s">
        <v>718</v>
      </c>
      <c r="X169" s="342">
        <f t="shared" si="2"/>
        <v>10</v>
      </c>
    </row>
    <row r="170" spans="1:24" ht="182" x14ac:dyDescent="0.3">
      <c r="A170" s="342" t="s">
        <v>125</v>
      </c>
      <c r="B170" s="342" t="s">
        <v>1382</v>
      </c>
      <c r="C170" s="342">
        <v>0</v>
      </c>
      <c r="D170" s="342">
        <v>1</v>
      </c>
      <c r="E170" s="342">
        <v>0</v>
      </c>
      <c r="F170" s="342">
        <v>0</v>
      </c>
      <c r="G170" s="342">
        <v>0</v>
      </c>
      <c r="H170" s="342">
        <v>0</v>
      </c>
      <c r="I170" s="342">
        <v>0</v>
      </c>
      <c r="J170" s="342">
        <v>1</v>
      </c>
      <c r="K170" s="342"/>
      <c r="L170" s="342" t="s">
        <v>767</v>
      </c>
      <c r="M170" s="342" t="s">
        <v>702</v>
      </c>
      <c r="N170" s="342" t="s">
        <v>699</v>
      </c>
      <c r="O170" s="342" t="s">
        <v>699</v>
      </c>
      <c r="P170" s="342" t="s">
        <v>1383</v>
      </c>
      <c r="Q170" s="342" t="s">
        <v>1384</v>
      </c>
      <c r="R170" s="342"/>
      <c r="S170" s="342" t="s">
        <v>959</v>
      </c>
      <c r="T170" s="342" t="s">
        <v>960</v>
      </c>
      <c r="U170" s="342" t="s">
        <v>26</v>
      </c>
      <c r="V170" s="342" t="s">
        <v>702</v>
      </c>
      <c r="W170" s="342" t="s">
        <v>727</v>
      </c>
      <c r="X170" s="342">
        <f t="shared" si="2"/>
        <v>5</v>
      </c>
    </row>
    <row r="171" spans="1:24" ht="112" x14ac:dyDescent="0.3">
      <c r="A171" s="342" t="s">
        <v>127</v>
      </c>
      <c r="B171" s="342" t="s">
        <v>1385</v>
      </c>
      <c r="C171" s="342">
        <v>0</v>
      </c>
      <c r="D171" s="342">
        <v>1</v>
      </c>
      <c r="E171" s="342">
        <v>0</v>
      </c>
      <c r="F171" s="342">
        <v>0</v>
      </c>
      <c r="G171" s="342">
        <v>0</v>
      </c>
      <c r="H171" s="342">
        <v>0</v>
      </c>
      <c r="I171" s="342">
        <v>0</v>
      </c>
      <c r="J171" s="342">
        <v>0</v>
      </c>
      <c r="K171" s="342"/>
      <c r="L171" s="342" t="s">
        <v>767</v>
      </c>
      <c r="M171" s="342" t="s">
        <v>702</v>
      </c>
      <c r="N171" s="342" t="s">
        <v>699</v>
      </c>
      <c r="O171" s="342" t="s">
        <v>699</v>
      </c>
      <c r="P171" s="342" t="s">
        <v>1386</v>
      </c>
      <c r="Q171" s="342" t="s">
        <v>1387</v>
      </c>
      <c r="R171" s="342"/>
      <c r="S171" s="342" t="s">
        <v>1359</v>
      </c>
      <c r="T171" s="342" t="s">
        <v>1360</v>
      </c>
      <c r="U171" s="342" t="s">
        <v>26</v>
      </c>
      <c r="V171" s="342" t="s">
        <v>702</v>
      </c>
      <c r="W171" s="342" t="s">
        <v>727</v>
      </c>
      <c r="X171" s="342">
        <f t="shared" si="2"/>
        <v>5</v>
      </c>
    </row>
    <row r="172" spans="1:24" ht="240" customHeight="1" x14ac:dyDescent="0.3">
      <c r="A172" s="342" t="s">
        <v>129</v>
      </c>
      <c r="B172" s="342" t="s">
        <v>1388</v>
      </c>
      <c r="C172" s="342">
        <v>0</v>
      </c>
      <c r="D172" s="342">
        <v>1</v>
      </c>
      <c r="E172" s="342">
        <v>0</v>
      </c>
      <c r="F172" s="342">
        <v>0</v>
      </c>
      <c r="G172" s="342">
        <v>0</v>
      </c>
      <c r="H172" s="342">
        <v>0</v>
      </c>
      <c r="I172" s="342">
        <v>0</v>
      </c>
      <c r="J172" s="342">
        <v>1</v>
      </c>
      <c r="K172" s="342"/>
      <c r="L172" s="342" t="s">
        <v>767</v>
      </c>
      <c r="M172" s="342" t="s">
        <v>702</v>
      </c>
      <c r="N172" s="342" t="s">
        <v>699</v>
      </c>
      <c r="O172" s="342" t="s">
        <v>699</v>
      </c>
      <c r="P172" s="342" t="s">
        <v>1389</v>
      </c>
      <c r="Q172" s="342" t="s">
        <v>1390</v>
      </c>
      <c r="R172" s="342"/>
      <c r="S172" s="342" t="s">
        <v>1391</v>
      </c>
      <c r="T172" s="342" t="s">
        <v>1392</v>
      </c>
      <c r="U172" s="342" t="s">
        <v>26</v>
      </c>
      <c r="V172" s="342" t="s">
        <v>702</v>
      </c>
      <c r="W172" s="342" t="s">
        <v>727</v>
      </c>
      <c r="X172" s="342">
        <f t="shared" si="2"/>
        <v>5</v>
      </c>
    </row>
    <row r="173" spans="1:24" ht="243" customHeight="1" x14ac:dyDescent="0.3">
      <c r="A173" s="342" t="s">
        <v>131</v>
      </c>
      <c r="B173" s="342" t="s">
        <v>1393</v>
      </c>
      <c r="C173" s="342">
        <v>0</v>
      </c>
      <c r="D173" s="342">
        <v>1</v>
      </c>
      <c r="E173" s="342">
        <v>0</v>
      </c>
      <c r="F173" s="342">
        <v>0</v>
      </c>
      <c r="G173" s="342">
        <v>0</v>
      </c>
      <c r="H173" s="342">
        <v>0</v>
      </c>
      <c r="I173" s="342">
        <v>0</v>
      </c>
      <c r="J173" s="342">
        <v>1</v>
      </c>
      <c r="K173" s="342"/>
      <c r="L173" s="342" t="s">
        <v>767</v>
      </c>
      <c r="M173" s="342" t="s">
        <v>702</v>
      </c>
      <c r="N173" s="342" t="s">
        <v>699</v>
      </c>
      <c r="O173" s="342" t="s">
        <v>699</v>
      </c>
      <c r="P173" s="342" t="s">
        <v>1394</v>
      </c>
      <c r="Q173" s="342" t="s">
        <v>1395</v>
      </c>
      <c r="R173" s="342"/>
      <c r="S173" s="342" t="s">
        <v>1391</v>
      </c>
      <c r="T173" s="342" t="s">
        <v>1392</v>
      </c>
      <c r="U173" s="342" t="s">
        <v>26</v>
      </c>
      <c r="V173" s="342" t="s">
        <v>702</v>
      </c>
      <c r="W173" s="342" t="s">
        <v>727</v>
      </c>
      <c r="X173" s="342">
        <f t="shared" si="2"/>
        <v>5</v>
      </c>
    </row>
    <row r="174" spans="1:24" ht="182" x14ac:dyDescent="0.3">
      <c r="A174" s="342" t="s">
        <v>133</v>
      </c>
      <c r="B174" s="342" t="s">
        <v>1396</v>
      </c>
      <c r="C174" s="342">
        <v>0</v>
      </c>
      <c r="D174" s="342">
        <v>1</v>
      </c>
      <c r="E174" s="342">
        <v>0</v>
      </c>
      <c r="F174" s="342">
        <v>0</v>
      </c>
      <c r="G174" s="342">
        <v>0</v>
      </c>
      <c r="H174" s="342">
        <v>0</v>
      </c>
      <c r="I174" s="342">
        <v>0</v>
      </c>
      <c r="J174" s="342">
        <v>0</v>
      </c>
      <c r="K174" s="342"/>
      <c r="L174" s="342" t="s">
        <v>767</v>
      </c>
      <c r="M174" s="342" t="s">
        <v>702</v>
      </c>
      <c r="N174" s="342" t="s">
        <v>699</v>
      </c>
      <c r="O174" s="342" t="s">
        <v>699</v>
      </c>
      <c r="P174" s="342" t="s">
        <v>1397</v>
      </c>
      <c r="Q174" s="342" t="s">
        <v>1398</v>
      </c>
      <c r="R174" s="342"/>
      <c r="S174" s="342" t="s">
        <v>1399</v>
      </c>
      <c r="T174" s="342" t="s">
        <v>1400</v>
      </c>
      <c r="U174" s="342" t="s">
        <v>26</v>
      </c>
      <c r="V174" s="342" t="s">
        <v>702</v>
      </c>
      <c r="W174" s="342" t="s">
        <v>727</v>
      </c>
      <c r="X174" s="342">
        <f t="shared" si="2"/>
        <v>5</v>
      </c>
    </row>
    <row r="175" spans="1:24" ht="206.25" customHeight="1" x14ac:dyDescent="0.3">
      <c r="A175" s="342" t="s">
        <v>135</v>
      </c>
      <c r="B175" s="342" t="s">
        <v>1401</v>
      </c>
      <c r="C175" s="342">
        <v>0</v>
      </c>
      <c r="D175" s="342">
        <v>1</v>
      </c>
      <c r="E175" s="342">
        <v>0</v>
      </c>
      <c r="F175" s="342">
        <v>0</v>
      </c>
      <c r="G175" s="342">
        <v>0</v>
      </c>
      <c r="H175" s="342">
        <v>0</v>
      </c>
      <c r="I175" s="342">
        <v>0</v>
      </c>
      <c r="J175" s="342">
        <v>1</v>
      </c>
      <c r="K175" s="342"/>
      <c r="L175" s="342" t="s">
        <v>767</v>
      </c>
      <c r="M175" s="342" t="s">
        <v>702</v>
      </c>
      <c r="N175" s="342" t="s">
        <v>699</v>
      </c>
      <c r="O175" s="342" t="s">
        <v>699</v>
      </c>
      <c r="P175" s="342" t="s">
        <v>1402</v>
      </c>
      <c r="Q175" s="342" t="s">
        <v>1403</v>
      </c>
      <c r="R175" s="342"/>
      <c r="S175" s="342" t="s">
        <v>1404</v>
      </c>
      <c r="T175" s="342" t="s">
        <v>1405</v>
      </c>
      <c r="U175" s="342" t="s">
        <v>26</v>
      </c>
      <c r="V175" s="342" t="s">
        <v>702</v>
      </c>
      <c r="W175" s="342" t="s">
        <v>727</v>
      </c>
      <c r="X175" s="342">
        <f t="shared" si="2"/>
        <v>5</v>
      </c>
    </row>
    <row r="176" spans="1:24" ht="127.5" customHeight="1" x14ac:dyDescent="0.3">
      <c r="A176" s="342" t="s">
        <v>137</v>
      </c>
      <c r="B176" s="342" t="s">
        <v>1406</v>
      </c>
      <c r="C176" s="342">
        <v>0</v>
      </c>
      <c r="D176" s="342">
        <v>1</v>
      </c>
      <c r="E176" s="342">
        <v>0</v>
      </c>
      <c r="F176" s="342">
        <v>0</v>
      </c>
      <c r="G176" s="342">
        <v>0</v>
      </c>
      <c r="H176" s="342">
        <v>0</v>
      </c>
      <c r="I176" s="342">
        <v>0</v>
      </c>
      <c r="J176" s="342">
        <v>1</v>
      </c>
      <c r="K176" s="342"/>
      <c r="L176" s="342" t="s">
        <v>767</v>
      </c>
      <c r="M176" s="342" t="s">
        <v>702</v>
      </c>
      <c r="N176" s="342" t="s">
        <v>699</v>
      </c>
      <c r="O176" s="342" t="s">
        <v>699</v>
      </c>
      <c r="P176" s="342" t="s">
        <v>1407</v>
      </c>
      <c r="Q176" s="342" t="s">
        <v>1408</v>
      </c>
      <c r="R176" s="350" t="s">
        <v>867</v>
      </c>
      <c r="S176" s="342" t="s">
        <v>1409</v>
      </c>
      <c r="T176" s="342" t="s">
        <v>1410</v>
      </c>
      <c r="U176" s="342" t="s">
        <v>26</v>
      </c>
      <c r="V176" s="342" t="s">
        <v>702</v>
      </c>
      <c r="W176" s="342" t="s">
        <v>727</v>
      </c>
      <c r="X176" s="342">
        <f t="shared" si="2"/>
        <v>5</v>
      </c>
    </row>
    <row r="177" spans="1:24" ht="266" x14ac:dyDescent="0.3">
      <c r="A177" s="342" t="s">
        <v>292</v>
      </c>
      <c r="B177" s="342" t="s">
        <v>1411</v>
      </c>
      <c r="C177" s="342">
        <v>0</v>
      </c>
      <c r="D177" s="342">
        <v>0</v>
      </c>
      <c r="E177" s="342">
        <v>0</v>
      </c>
      <c r="F177" s="342">
        <v>1</v>
      </c>
      <c r="G177" s="342">
        <v>0</v>
      </c>
      <c r="H177" s="342">
        <v>0</v>
      </c>
      <c r="I177" s="342">
        <v>0</v>
      </c>
      <c r="J177" s="342">
        <v>1</v>
      </c>
      <c r="K177" s="342"/>
      <c r="L177" s="342" t="s">
        <v>903</v>
      </c>
      <c r="M177" s="342" t="s">
        <v>702</v>
      </c>
      <c r="N177" s="342" t="s">
        <v>904</v>
      </c>
      <c r="O177" s="342" t="s">
        <v>699</v>
      </c>
      <c r="P177" s="342" t="s">
        <v>1412</v>
      </c>
      <c r="Q177" s="342" t="s">
        <v>1413</v>
      </c>
      <c r="R177" s="342"/>
      <c r="S177" s="342" t="s">
        <v>1414</v>
      </c>
      <c r="T177" s="342" t="s">
        <v>1415</v>
      </c>
      <c r="U177" s="342" t="s">
        <v>26</v>
      </c>
      <c r="V177" s="342" t="s">
        <v>702</v>
      </c>
      <c r="W177" s="342" t="s">
        <v>718</v>
      </c>
      <c r="X177" s="342">
        <f t="shared" si="2"/>
        <v>10</v>
      </c>
    </row>
    <row r="178" spans="1:24" ht="221.25" customHeight="1" x14ac:dyDescent="0.3">
      <c r="A178" s="342" t="s">
        <v>294</v>
      </c>
      <c r="B178" s="342" t="s">
        <v>1416</v>
      </c>
      <c r="C178" s="342">
        <v>0</v>
      </c>
      <c r="D178" s="342">
        <v>0</v>
      </c>
      <c r="E178" s="342">
        <v>0</v>
      </c>
      <c r="F178" s="342">
        <v>1</v>
      </c>
      <c r="G178" s="342">
        <v>0</v>
      </c>
      <c r="H178" s="342">
        <v>0</v>
      </c>
      <c r="I178" s="342">
        <v>0</v>
      </c>
      <c r="J178" s="342">
        <v>1</v>
      </c>
      <c r="K178" s="342"/>
      <c r="L178" s="342" t="s">
        <v>903</v>
      </c>
      <c r="M178" s="342" t="s">
        <v>702</v>
      </c>
      <c r="N178" s="342" t="s">
        <v>904</v>
      </c>
      <c r="O178" s="342" t="s">
        <v>699</v>
      </c>
      <c r="P178" s="342" t="s">
        <v>1417</v>
      </c>
      <c r="Q178" s="342" t="s">
        <v>1418</v>
      </c>
      <c r="R178" s="342"/>
      <c r="S178" s="342" t="s">
        <v>1419</v>
      </c>
      <c r="T178" s="342" t="s">
        <v>1415</v>
      </c>
      <c r="U178" s="342" t="s">
        <v>26</v>
      </c>
      <c r="V178" s="342" t="s">
        <v>702</v>
      </c>
      <c r="W178" s="342" t="s">
        <v>727</v>
      </c>
      <c r="X178" s="342">
        <f t="shared" si="2"/>
        <v>5</v>
      </c>
    </row>
    <row r="179" spans="1:24" ht="154" x14ac:dyDescent="0.3">
      <c r="A179" s="342" t="s">
        <v>296</v>
      </c>
      <c r="B179" s="342" t="s">
        <v>1420</v>
      </c>
      <c r="C179" s="342">
        <v>0</v>
      </c>
      <c r="D179" s="342">
        <v>0</v>
      </c>
      <c r="E179" s="342">
        <v>0</v>
      </c>
      <c r="F179" s="342">
        <v>1</v>
      </c>
      <c r="G179" s="342">
        <v>0</v>
      </c>
      <c r="H179" s="342">
        <v>0</v>
      </c>
      <c r="I179" s="342">
        <v>0</v>
      </c>
      <c r="J179" s="342">
        <v>1</v>
      </c>
      <c r="K179" s="342"/>
      <c r="L179" s="342" t="s">
        <v>903</v>
      </c>
      <c r="M179" s="342" t="s">
        <v>702</v>
      </c>
      <c r="N179" s="342" t="s">
        <v>904</v>
      </c>
      <c r="O179" s="342" t="s">
        <v>699</v>
      </c>
      <c r="P179" s="342" t="s">
        <v>1421</v>
      </c>
      <c r="Q179" s="342" t="s">
        <v>1422</v>
      </c>
      <c r="R179" s="342"/>
      <c r="S179" s="342" t="s">
        <v>1423</v>
      </c>
      <c r="T179" s="342" t="s">
        <v>1424</v>
      </c>
      <c r="U179" s="342" t="s">
        <v>26</v>
      </c>
      <c r="V179" s="342" t="s">
        <v>702</v>
      </c>
      <c r="W179" s="342" t="s">
        <v>727</v>
      </c>
      <c r="X179" s="342">
        <f t="shared" si="2"/>
        <v>5</v>
      </c>
    </row>
    <row r="180" spans="1:24" ht="238" x14ac:dyDescent="0.3">
      <c r="A180" s="342" t="s">
        <v>298</v>
      </c>
      <c r="B180" s="342" t="s">
        <v>1425</v>
      </c>
      <c r="C180" s="342">
        <v>0</v>
      </c>
      <c r="D180" s="342">
        <v>0</v>
      </c>
      <c r="E180" s="342">
        <v>0</v>
      </c>
      <c r="F180" s="342">
        <v>1</v>
      </c>
      <c r="G180" s="342">
        <v>0</v>
      </c>
      <c r="H180" s="342">
        <v>0</v>
      </c>
      <c r="I180" s="342">
        <v>0</v>
      </c>
      <c r="J180" s="342">
        <v>1</v>
      </c>
      <c r="K180" s="342"/>
      <c r="L180" s="342" t="s">
        <v>903</v>
      </c>
      <c r="M180" s="342" t="s">
        <v>699</v>
      </c>
      <c r="N180" s="342" t="s">
        <v>904</v>
      </c>
      <c r="O180" s="342" t="s">
        <v>699</v>
      </c>
      <c r="P180" s="342" t="s">
        <v>1426</v>
      </c>
      <c r="Q180" s="342" t="s">
        <v>1427</v>
      </c>
      <c r="R180" s="342"/>
      <c r="S180" s="342" t="s">
        <v>1428</v>
      </c>
      <c r="T180" s="342" t="s">
        <v>1381</v>
      </c>
      <c r="U180" s="342" t="s">
        <v>26</v>
      </c>
      <c r="V180" s="342" t="s">
        <v>699</v>
      </c>
      <c r="W180" s="342" t="s">
        <v>727</v>
      </c>
      <c r="X180" s="342">
        <f t="shared" si="2"/>
        <v>5</v>
      </c>
    </row>
    <row r="181" spans="1:24" ht="224.25" customHeight="1" x14ac:dyDescent="0.3">
      <c r="A181" s="354" t="s">
        <v>300</v>
      </c>
      <c r="B181" s="354" t="s">
        <v>1429</v>
      </c>
      <c r="C181" s="342">
        <v>0</v>
      </c>
      <c r="D181" s="342">
        <v>0</v>
      </c>
      <c r="E181" s="342">
        <v>0</v>
      </c>
      <c r="F181" s="342">
        <v>1</v>
      </c>
      <c r="G181" s="342">
        <v>0</v>
      </c>
      <c r="H181" s="342">
        <v>0</v>
      </c>
      <c r="I181" s="342">
        <v>0</v>
      </c>
      <c r="J181" s="342">
        <v>0</v>
      </c>
      <c r="K181" s="342"/>
      <c r="L181" s="342" t="s">
        <v>903</v>
      </c>
      <c r="M181" s="342" t="s">
        <v>702</v>
      </c>
      <c r="N181" s="342" t="s">
        <v>904</v>
      </c>
      <c r="O181" s="342" t="s">
        <v>699</v>
      </c>
      <c r="P181" s="342" t="s">
        <v>1430</v>
      </c>
      <c r="Q181" s="342" t="s">
        <v>1431</v>
      </c>
      <c r="R181" s="342"/>
      <c r="S181" s="342" t="s">
        <v>1432</v>
      </c>
      <c r="T181" s="342" t="s">
        <v>1433</v>
      </c>
      <c r="U181" s="342" t="s">
        <v>26</v>
      </c>
      <c r="V181" s="342" t="s">
        <v>702</v>
      </c>
      <c r="W181" s="342" t="s">
        <v>769</v>
      </c>
      <c r="X181" s="342">
        <f t="shared" si="2"/>
        <v>20</v>
      </c>
    </row>
    <row r="182" spans="1:24" ht="126" x14ac:dyDescent="0.3">
      <c r="A182" s="354" t="s">
        <v>301</v>
      </c>
      <c r="B182" s="354" t="s">
        <v>1434</v>
      </c>
      <c r="C182" s="342">
        <v>0</v>
      </c>
      <c r="D182" s="342">
        <v>0</v>
      </c>
      <c r="E182" s="342">
        <v>0</v>
      </c>
      <c r="F182" s="342">
        <v>1</v>
      </c>
      <c r="G182" s="342">
        <v>0</v>
      </c>
      <c r="H182" s="342">
        <v>0</v>
      </c>
      <c r="I182" s="342">
        <v>0</v>
      </c>
      <c r="J182" s="342">
        <v>1</v>
      </c>
      <c r="K182" s="342"/>
      <c r="L182" s="342" t="s">
        <v>903</v>
      </c>
      <c r="M182" s="342" t="s">
        <v>702</v>
      </c>
      <c r="N182" s="342" t="s">
        <v>904</v>
      </c>
      <c r="O182" s="342" t="s">
        <v>699</v>
      </c>
      <c r="P182" s="342" t="s">
        <v>1435</v>
      </c>
      <c r="Q182" s="342" t="s">
        <v>1436</v>
      </c>
      <c r="R182" s="342"/>
      <c r="S182" s="342" t="s">
        <v>1437</v>
      </c>
      <c r="T182" s="342" t="s">
        <v>1438</v>
      </c>
      <c r="U182" s="342" t="s">
        <v>26</v>
      </c>
      <c r="V182" s="342" t="s">
        <v>702</v>
      </c>
      <c r="W182" s="342" t="s">
        <v>769</v>
      </c>
      <c r="X182" s="342">
        <f t="shared" si="2"/>
        <v>20</v>
      </c>
    </row>
    <row r="183" spans="1:24" ht="168" x14ac:dyDescent="0.3">
      <c r="A183" s="354" t="s">
        <v>303</v>
      </c>
      <c r="B183" s="354" t="s">
        <v>1439</v>
      </c>
      <c r="C183" s="342">
        <v>0</v>
      </c>
      <c r="D183" s="342">
        <v>0</v>
      </c>
      <c r="E183" s="342">
        <v>0</v>
      </c>
      <c r="F183" s="342">
        <v>1</v>
      </c>
      <c r="G183" s="342">
        <v>0</v>
      </c>
      <c r="H183" s="342">
        <v>0</v>
      </c>
      <c r="I183" s="342">
        <v>0</v>
      </c>
      <c r="J183" s="342">
        <v>1</v>
      </c>
      <c r="K183" s="342"/>
      <c r="L183" s="342" t="s">
        <v>903</v>
      </c>
      <c r="M183" s="342" t="s">
        <v>702</v>
      </c>
      <c r="N183" s="342" t="s">
        <v>904</v>
      </c>
      <c r="O183" s="342" t="s">
        <v>699</v>
      </c>
      <c r="P183" s="342" t="s">
        <v>1440</v>
      </c>
      <c r="Q183" s="342" t="s">
        <v>1441</v>
      </c>
      <c r="R183" s="342"/>
      <c r="S183" s="342" t="s">
        <v>1442</v>
      </c>
      <c r="T183" s="342" t="s">
        <v>1443</v>
      </c>
      <c r="U183" s="342" t="s">
        <v>26</v>
      </c>
      <c r="V183" s="342" t="s">
        <v>702</v>
      </c>
      <c r="W183" s="342" t="s">
        <v>769</v>
      </c>
      <c r="X183" s="342">
        <f t="shared" si="2"/>
        <v>20</v>
      </c>
    </row>
    <row r="184" spans="1:24" ht="289.5" customHeight="1" x14ac:dyDescent="0.3">
      <c r="A184" s="342" t="s">
        <v>305</v>
      </c>
      <c r="B184" s="342" t="s">
        <v>1444</v>
      </c>
      <c r="C184" s="342">
        <v>0</v>
      </c>
      <c r="D184" s="342">
        <v>0</v>
      </c>
      <c r="E184" s="342">
        <v>0</v>
      </c>
      <c r="F184" s="342">
        <v>1</v>
      </c>
      <c r="G184" s="342">
        <v>0</v>
      </c>
      <c r="H184" s="342">
        <v>0</v>
      </c>
      <c r="I184" s="342">
        <v>0</v>
      </c>
      <c r="J184" s="342">
        <v>1</v>
      </c>
      <c r="K184" s="342"/>
      <c r="L184" s="342" t="s">
        <v>903</v>
      </c>
      <c r="M184" s="342" t="s">
        <v>702</v>
      </c>
      <c r="N184" s="342" t="s">
        <v>904</v>
      </c>
      <c r="O184" s="342" t="s">
        <v>699</v>
      </c>
      <c r="P184" s="342" t="s">
        <v>1445</v>
      </c>
      <c r="Q184" s="342" t="s">
        <v>1446</v>
      </c>
      <c r="R184" s="342"/>
      <c r="S184" s="342" t="s">
        <v>1447</v>
      </c>
      <c r="T184" s="342" t="s">
        <v>1448</v>
      </c>
      <c r="U184" s="342" t="s">
        <v>26</v>
      </c>
      <c r="V184" s="342" t="s">
        <v>702</v>
      </c>
      <c r="W184" s="342" t="s">
        <v>718</v>
      </c>
      <c r="X184" s="342">
        <f t="shared" si="2"/>
        <v>10</v>
      </c>
    </row>
    <row r="185" spans="1:24" ht="296.25" customHeight="1" x14ac:dyDescent="0.3">
      <c r="A185" s="342" t="s">
        <v>307</v>
      </c>
      <c r="B185" s="342" t="s">
        <v>1449</v>
      </c>
      <c r="C185" s="342">
        <v>0</v>
      </c>
      <c r="D185" s="342">
        <v>0</v>
      </c>
      <c r="E185" s="342">
        <v>0</v>
      </c>
      <c r="F185" s="342">
        <v>1</v>
      </c>
      <c r="G185" s="342">
        <v>0</v>
      </c>
      <c r="H185" s="342">
        <v>0</v>
      </c>
      <c r="I185" s="342">
        <v>0</v>
      </c>
      <c r="J185" s="342">
        <v>0</v>
      </c>
      <c r="K185" s="342"/>
      <c r="L185" s="342" t="s">
        <v>903</v>
      </c>
      <c r="M185" s="342" t="s">
        <v>702</v>
      </c>
      <c r="N185" s="342" t="s">
        <v>904</v>
      </c>
      <c r="O185" s="342" t="s">
        <v>1450</v>
      </c>
      <c r="P185" s="342" t="s">
        <v>1450</v>
      </c>
      <c r="Q185" s="342" t="s">
        <v>1450</v>
      </c>
      <c r="R185" s="342"/>
      <c r="S185" s="342" t="s">
        <v>1451</v>
      </c>
      <c r="T185" s="342" t="s">
        <v>1452</v>
      </c>
      <c r="U185" s="342" t="s">
        <v>26</v>
      </c>
      <c r="V185" s="342" t="s">
        <v>702</v>
      </c>
      <c r="W185" s="342" t="s">
        <v>718</v>
      </c>
      <c r="X185" s="342">
        <f t="shared" si="2"/>
        <v>10</v>
      </c>
    </row>
    <row r="186" spans="1:24" ht="300" customHeight="1" x14ac:dyDescent="0.3">
      <c r="A186" s="342" t="s">
        <v>308</v>
      </c>
      <c r="B186" s="342" t="s">
        <v>1453</v>
      </c>
      <c r="C186" s="342">
        <v>0</v>
      </c>
      <c r="D186" s="342">
        <v>0</v>
      </c>
      <c r="E186" s="342">
        <v>0</v>
      </c>
      <c r="F186" s="342">
        <v>1</v>
      </c>
      <c r="G186" s="342">
        <v>0</v>
      </c>
      <c r="H186" s="342">
        <v>0</v>
      </c>
      <c r="I186" s="342">
        <v>0</v>
      </c>
      <c r="J186" s="342">
        <v>1</v>
      </c>
      <c r="K186" s="342"/>
      <c r="L186" s="342" t="s">
        <v>903</v>
      </c>
      <c r="M186" s="342" t="s">
        <v>702</v>
      </c>
      <c r="N186" s="342" t="s">
        <v>904</v>
      </c>
      <c r="O186" s="342" t="s">
        <v>699</v>
      </c>
      <c r="P186" s="342" t="s">
        <v>1454</v>
      </c>
      <c r="Q186" s="342" t="s">
        <v>1455</v>
      </c>
      <c r="R186" s="342"/>
      <c r="S186" s="342" t="s">
        <v>1456</v>
      </c>
      <c r="T186" s="342" t="s">
        <v>1457</v>
      </c>
      <c r="U186" s="342" t="s">
        <v>26</v>
      </c>
      <c r="V186" s="342" t="s">
        <v>702</v>
      </c>
      <c r="W186" s="342" t="s">
        <v>727</v>
      </c>
      <c r="X186" s="342">
        <f t="shared" si="2"/>
        <v>5</v>
      </c>
    </row>
    <row r="187" spans="1:24" ht="77.25" customHeight="1" x14ac:dyDescent="0.3">
      <c r="A187" s="354" t="s">
        <v>356</v>
      </c>
      <c r="B187" s="354" t="s">
        <v>1458</v>
      </c>
      <c r="C187" s="342">
        <v>0</v>
      </c>
      <c r="D187" s="342">
        <v>0</v>
      </c>
      <c r="E187" s="342">
        <v>0</v>
      </c>
      <c r="F187" s="342">
        <v>0</v>
      </c>
      <c r="G187" s="342">
        <v>0</v>
      </c>
      <c r="H187" s="342">
        <v>1</v>
      </c>
      <c r="I187" s="342">
        <v>0</v>
      </c>
      <c r="J187" s="342">
        <v>1</v>
      </c>
      <c r="K187" s="342"/>
      <c r="L187" s="342" t="s">
        <v>1459</v>
      </c>
      <c r="M187" s="342" t="s">
        <v>702</v>
      </c>
      <c r="N187" s="342" t="s">
        <v>1460</v>
      </c>
      <c r="O187" s="342" t="s">
        <v>1461</v>
      </c>
      <c r="P187" s="342" t="s">
        <v>1461</v>
      </c>
      <c r="Q187" s="342" t="s">
        <v>1461</v>
      </c>
      <c r="R187" s="342"/>
      <c r="S187" s="342" t="s">
        <v>1462</v>
      </c>
      <c r="T187" s="342" t="s">
        <v>1463</v>
      </c>
      <c r="U187" s="342" t="s">
        <v>26</v>
      </c>
      <c r="V187" s="342" t="s">
        <v>702</v>
      </c>
      <c r="W187" s="342" t="s">
        <v>769</v>
      </c>
      <c r="X187" s="342">
        <f t="shared" si="2"/>
        <v>20</v>
      </c>
    </row>
    <row r="188" spans="1:24" ht="77.25" customHeight="1" x14ac:dyDescent="0.3">
      <c r="A188" s="354" t="s">
        <v>357</v>
      </c>
      <c r="B188" s="354" t="s">
        <v>1464</v>
      </c>
      <c r="C188" s="342">
        <v>0</v>
      </c>
      <c r="D188" s="342">
        <v>0</v>
      </c>
      <c r="E188" s="342">
        <v>0</v>
      </c>
      <c r="F188" s="342">
        <v>0</v>
      </c>
      <c r="G188" s="342">
        <v>0</v>
      </c>
      <c r="H188" s="342">
        <v>1</v>
      </c>
      <c r="I188" s="342">
        <v>0</v>
      </c>
      <c r="J188" s="342">
        <v>1</v>
      </c>
      <c r="K188" s="342"/>
      <c r="L188" s="342" t="s">
        <v>1459</v>
      </c>
      <c r="M188" s="342" t="s">
        <v>702</v>
      </c>
      <c r="N188" s="342" t="s">
        <v>1460</v>
      </c>
      <c r="O188" s="342" t="s">
        <v>1461</v>
      </c>
      <c r="P188" s="342" t="s">
        <v>1461</v>
      </c>
      <c r="Q188" s="342" t="s">
        <v>1461</v>
      </c>
      <c r="R188" s="342"/>
      <c r="S188" s="342" t="s">
        <v>1462</v>
      </c>
      <c r="T188" s="342" t="s">
        <v>1463</v>
      </c>
      <c r="U188" s="342" t="s">
        <v>26</v>
      </c>
      <c r="V188" s="342" t="s">
        <v>702</v>
      </c>
      <c r="W188" s="342" t="s">
        <v>769</v>
      </c>
      <c r="X188" s="342">
        <f t="shared" si="2"/>
        <v>20</v>
      </c>
    </row>
    <row r="189" spans="1:24" ht="77.25" customHeight="1" x14ac:dyDescent="0.3">
      <c r="A189" s="354" t="s">
        <v>358</v>
      </c>
      <c r="B189" s="354" t="s">
        <v>1465</v>
      </c>
      <c r="C189" s="342">
        <v>0</v>
      </c>
      <c r="D189" s="342">
        <v>0</v>
      </c>
      <c r="E189" s="342">
        <v>0</v>
      </c>
      <c r="F189" s="342">
        <v>0</v>
      </c>
      <c r="G189" s="342">
        <v>0</v>
      </c>
      <c r="H189" s="342">
        <v>1</v>
      </c>
      <c r="I189" s="342">
        <v>0</v>
      </c>
      <c r="J189" s="342">
        <v>1</v>
      </c>
      <c r="K189" s="342"/>
      <c r="L189" s="342" t="s">
        <v>1459</v>
      </c>
      <c r="M189" s="342" t="s">
        <v>702</v>
      </c>
      <c r="N189" s="342" t="s">
        <v>1460</v>
      </c>
      <c r="O189" s="342" t="s">
        <v>1461</v>
      </c>
      <c r="P189" s="342" t="s">
        <v>1461</v>
      </c>
      <c r="Q189" s="342" t="s">
        <v>1461</v>
      </c>
      <c r="R189" s="342"/>
      <c r="S189" s="342" t="s">
        <v>1462</v>
      </c>
      <c r="T189" s="342" t="s">
        <v>1463</v>
      </c>
      <c r="U189" s="342" t="s">
        <v>26</v>
      </c>
      <c r="V189" s="342" t="s">
        <v>702</v>
      </c>
      <c r="W189" s="342" t="s">
        <v>769</v>
      </c>
      <c r="X189" s="342">
        <f t="shared" si="2"/>
        <v>20</v>
      </c>
    </row>
    <row r="190" spans="1:24" ht="77.25" customHeight="1" x14ac:dyDescent="0.3">
      <c r="A190" s="354" t="s">
        <v>359</v>
      </c>
      <c r="B190" s="354" t="s">
        <v>1466</v>
      </c>
      <c r="C190" s="342">
        <v>0</v>
      </c>
      <c r="D190" s="342">
        <v>0</v>
      </c>
      <c r="E190" s="342">
        <v>0</v>
      </c>
      <c r="F190" s="342">
        <v>0</v>
      </c>
      <c r="G190" s="342">
        <v>0</v>
      </c>
      <c r="H190" s="342">
        <v>1</v>
      </c>
      <c r="I190" s="342">
        <v>0</v>
      </c>
      <c r="J190" s="342">
        <v>1</v>
      </c>
      <c r="K190" s="342"/>
      <c r="L190" s="342" t="s">
        <v>1459</v>
      </c>
      <c r="M190" s="342" t="s">
        <v>702</v>
      </c>
      <c r="N190" s="342" t="s">
        <v>1460</v>
      </c>
      <c r="O190" s="342" t="s">
        <v>1461</v>
      </c>
      <c r="P190" s="342" t="s">
        <v>1461</v>
      </c>
      <c r="Q190" s="342" t="s">
        <v>1461</v>
      </c>
      <c r="R190" s="342"/>
      <c r="S190" s="342" t="s">
        <v>1462</v>
      </c>
      <c r="T190" s="342" t="s">
        <v>1463</v>
      </c>
      <c r="U190" s="342" t="s">
        <v>26</v>
      </c>
      <c r="V190" s="342" t="s">
        <v>702</v>
      </c>
      <c r="W190" s="342" t="s">
        <v>769</v>
      </c>
      <c r="X190" s="342">
        <f t="shared" si="2"/>
        <v>20</v>
      </c>
    </row>
    <row r="191" spans="1:24" ht="77.25" customHeight="1" x14ac:dyDescent="0.3">
      <c r="A191" s="342" t="s">
        <v>360</v>
      </c>
      <c r="B191" s="342" t="s">
        <v>1467</v>
      </c>
      <c r="C191" s="342">
        <v>0</v>
      </c>
      <c r="D191" s="342">
        <v>0</v>
      </c>
      <c r="E191" s="342">
        <v>0</v>
      </c>
      <c r="F191" s="342">
        <v>0</v>
      </c>
      <c r="G191" s="342">
        <v>0</v>
      </c>
      <c r="H191" s="342">
        <v>1</v>
      </c>
      <c r="I191" s="342">
        <v>0</v>
      </c>
      <c r="J191" s="342">
        <v>1</v>
      </c>
      <c r="K191" s="342"/>
      <c r="L191" s="342" t="s">
        <v>1459</v>
      </c>
      <c r="M191" s="342" t="s">
        <v>702</v>
      </c>
      <c r="N191" s="342" t="s">
        <v>1460</v>
      </c>
      <c r="O191" s="342" t="s">
        <v>1461</v>
      </c>
      <c r="P191" s="342" t="s">
        <v>1461</v>
      </c>
      <c r="Q191" s="342" t="s">
        <v>1461</v>
      </c>
      <c r="R191" s="342"/>
      <c r="S191" s="342" t="s">
        <v>1462</v>
      </c>
      <c r="T191" s="342" t="s">
        <v>1463</v>
      </c>
      <c r="U191" s="342" t="s">
        <v>26</v>
      </c>
      <c r="V191" s="342" t="s">
        <v>702</v>
      </c>
      <c r="W191" s="342" t="s">
        <v>718</v>
      </c>
      <c r="X191" s="342">
        <f t="shared" si="2"/>
        <v>10</v>
      </c>
    </row>
    <row r="192" spans="1:24" ht="77.25" customHeight="1" x14ac:dyDescent="0.3">
      <c r="A192" s="342" t="s">
        <v>361</v>
      </c>
      <c r="B192" s="342" t="s">
        <v>1468</v>
      </c>
      <c r="C192" s="342">
        <v>0</v>
      </c>
      <c r="D192" s="342">
        <v>0</v>
      </c>
      <c r="E192" s="342">
        <v>0</v>
      </c>
      <c r="F192" s="342">
        <v>0</v>
      </c>
      <c r="G192" s="342">
        <v>0</v>
      </c>
      <c r="H192" s="342">
        <v>1</v>
      </c>
      <c r="I192" s="342">
        <v>0</v>
      </c>
      <c r="J192" s="342">
        <v>1</v>
      </c>
      <c r="K192" s="342"/>
      <c r="L192" s="342" t="s">
        <v>1459</v>
      </c>
      <c r="M192" s="342" t="s">
        <v>702</v>
      </c>
      <c r="N192" s="342" t="s">
        <v>1460</v>
      </c>
      <c r="O192" s="342" t="s">
        <v>1461</v>
      </c>
      <c r="P192" s="342" t="s">
        <v>1461</v>
      </c>
      <c r="Q192" s="342" t="s">
        <v>1461</v>
      </c>
      <c r="R192" s="342"/>
      <c r="S192" s="342" t="s">
        <v>1462</v>
      </c>
      <c r="T192" s="342" t="s">
        <v>1463</v>
      </c>
      <c r="U192" s="342" t="s">
        <v>26</v>
      </c>
      <c r="V192" s="342" t="s">
        <v>702</v>
      </c>
      <c r="W192" s="342" t="s">
        <v>718</v>
      </c>
      <c r="X192" s="342">
        <f t="shared" si="2"/>
        <v>10</v>
      </c>
    </row>
    <row r="193" spans="1:24" ht="77.25" customHeight="1" x14ac:dyDescent="0.3">
      <c r="A193" s="342" t="s">
        <v>362</v>
      </c>
      <c r="B193" s="342" t="s">
        <v>1469</v>
      </c>
      <c r="C193" s="342">
        <v>0</v>
      </c>
      <c r="D193" s="342">
        <v>0</v>
      </c>
      <c r="E193" s="342">
        <v>0</v>
      </c>
      <c r="F193" s="342">
        <v>0</v>
      </c>
      <c r="G193" s="342">
        <v>0</v>
      </c>
      <c r="H193" s="342">
        <v>1</v>
      </c>
      <c r="I193" s="342">
        <v>0</v>
      </c>
      <c r="J193" s="342">
        <v>1</v>
      </c>
      <c r="K193" s="342"/>
      <c r="L193" s="342" t="s">
        <v>1459</v>
      </c>
      <c r="M193" s="342" t="s">
        <v>702</v>
      </c>
      <c r="N193" s="342" t="s">
        <v>1460</v>
      </c>
      <c r="O193" s="342" t="s">
        <v>1461</v>
      </c>
      <c r="P193" s="342" t="s">
        <v>1461</v>
      </c>
      <c r="Q193" s="342" t="s">
        <v>1461</v>
      </c>
      <c r="R193" s="342"/>
      <c r="S193" s="342" t="s">
        <v>1462</v>
      </c>
      <c r="T193" s="342" t="s">
        <v>1463</v>
      </c>
      <c r="U193" s="342" t="s">
        <v>26</v>
      </c>
      <c r="V193" s="342" t="s">
        <v>702</v>
      </c>
      <c r="W193" s="342" t="s">
        <v>718</v>
      </c>
      <c r="X193" s="342">
        <f t="shared" si="2"/>
        <v>10</v>
      </c>
    </row>
    <row r="194" spans="1:24" ht="77.25" customHeight="1" x14ac:dyDescent="0.3">
      <c r="A194" s="342" t="s">
        <v>363</v>
      </c>
      <c r="B194" s="342" t="s">
        <v>1470</v>
      </c>
      <c r="C194" s="342">
        <v>0</v>
      </c>
      <c r="D194" s="342">
        <v>0</v>
      </c>
      <c r="E194" s="342">
        <v>0</v>
      </c>
      <c r="F194" s="342">
        <v>0</v>
      </c>
      <c r="G194" s="342">
        <v>0</v>
      </c>
      <c r="H194" s="342">
        <v>1</v>
      </c>
      <c r="I194" s="342">
        <v>0</v>
      </c>
      <c r="J194" s="342">
        <v>1</v>
      </c>
      <c r="K194" s="342"/>
      <c r="L194" s="342" t="s">
        <v>1459</v>
      </c>
      <c r="M194" s="342" t="s">
        <v>702</v>
      </c>
      <c r="N194" s="342" t="s">
        <v>1460</v>
      </c>
      <c r="O194" s="342" t="s">
        <v>1461</v>
      </c>
      <c r="P194" s="342" t="s">
        <v>1461</v>
      </c>
      <c r="Q194" s="342" t="s">
        <v>1461</v>
      </c>
      <c r="R194" s="342"/>
      <c r="S194" s="342" t="s">
        <v>1462</v>
      </c>
      <c r="T194" s="342" t="s">
        <v>1463</v>
      </c>
      <c r="U194" s="342" t="s">
        <v>26</v>
      </c>
      <c r="V194" s="342" t="s">
        <v>702</v>
      </c>
      <c r="W194" s="342" t="s">
        <v>718</v>
      </c>
      <c r="X194" s="342">
        <f t="shared" si="2"/>
        <v>10</v>
      </c>
    </row>
    <row r="195" spans="1:24" ht="77.25" customHeight="1" x14ac:dyDescent="0.3">
      <c r="A195" s="342" t="s">
        <v>364</v>
      </c>
      <c r="B195" s="342" t="s">
        <v>1471</v>
      </c>
      <c r="C195" s="342">
        <v>0</v>
      </c>
      <c r="D195" s="342">
        <v>0</v>
      </c>
      <c r="E195" s="342">
        <v>0</v>
      </c>
      <c r="F195" s="342">
        <v>0</v>
      </c>
      <c r="G195" s="342">
        <v>0</v>
      </c>
      <c r="H195" s="342">
        <v>1</v>
      </c>
      <c r="I195" s="342">
        <v>0</v>
      </c>
      <c r="J195" s="342">
        <v>1</v>
      </c>
      <c r="K195" s="342"/>
      <c r="L195" s="342" t="s">
        <v>1459</v>
      </c>
      <c r="M195" s="342" t="s">
        <v>702</v>
      </c>
      <c r="N195" s="342" t="s">
        <v>1460</v>
      </c>
      <c r="O195" s="342" t="s">
        <v>1461</v>
      </c>
      <c r="P195" s="342" t="s">
        <v>1461</v>
      </c>
      <c r="Q195" s="342" t="s">
        <v>1461</v>
      </c>
      <c r="R195" s="342"/>
      <c r="S195" s="342" t="s">
        <v>1462</v>
      </c>
      <c r="T195" s="342" t="s">
        <v>1463</v>
      </c>
      <c r="U195" s="342" t="s">
        <v>26</v>
      </c>
      <c r="V195" s="342" t="s">
        <v>702</v>
      </c>
      <c r="W195" s="342" t="s">
        <v>718</v>
      </c>
      <c r="X195" s="342">
        <f t="shared" si="2"/>
        <v>10</v>
      </c>
    </row>
    <row r="196" spans="1:24" ht="77.25" customHeight="1" x14ac:dyDescent="0.3">
      <c r="A196" s="342" t="s">
        <v>365</v>
      </c>
      <c r="B196" s="342" t="s">
        <v>1472</v>
      </c>
      <c r="C196" s="342">
        <v>0</v>
      </c>
      <c r="D196" s="342">
        <v>0</v>
      </c>
      <c r="E196" s="342">
        <v>0</v>
      </c>
      <c r="F196" s="342">
        <v>0</v>
      </c>
      <c r="G196" s="342">
        <v>0</v>
      </c>
      <c r="H196" s="342">
        <v>1</v>
      </c>
      <c r="I196" s="342">
        <v>0</v>
      </c>
      <c r="J196" s="342">
        <v>1</v>
      </c>
      <c r="K196" s="342"/>
      <c r="L196" s="342" t="s">
        <v>1459</v>
      </c>
      <c r="M196" s="342" t="s">
        <v>702</v>
      </c>
      <c r="N196" s="342" t="s">
        <v>1460</v>
      </c>
      <c r="O196" s="342" t="s">
        <v>1461</v>
      </c>
      <c r="P196" s="342" t="s">
        <v>1461</v>
      </c>
      <c r="Q196" s="342" t="s">
        <v>1461</v>
      </c>
      <c r="R196" s="342"/>
      <c r="S196" s="342" t="s">
        <v>1462</v>
      </c>
      <c r="T196" s="342" t="s">
        <v>1463</v>
      </c>
      <c r="U196" s="342" t="s">
        <v>26</v>
      </c>
      <c r="V196" s="342" t="s">
        <v>702</v>
      </c>
      <c r="W196" s="342" t="s">
        <v>718</v>
      </c>
      <c r="X196" s="342">
        <f t="shared" si="2"/>
        <v>10</v>
      </c>
    </row>
    <row r="197" spans="1:24" ht="77.25" customHeight="1" x14ac:dyDescent="0.3">
      <c r="A197" s="342" t="s">
        <v>366</v>
      </c>
      <c r="B197" s="342" t="s">
        <v>1473</v>
      </c>
      <c r="C197" s="342">
        <v>0</v>
      </c>
      <c r="D197" s="342">
        <v>0</v>
      </c>
      <c r="E197" s="342">
        <v>0</v>
      </c>
      <c r="F197" s="342">
        <v>0</v>
      </c>
      <c r="G197" s="342">
        <v>0</v>
      </c>
      <c r="H197" s="342">
        <v>1</v>
      </c>
      <c r="I197" s="342">
        <v>0</v>
      </c>
      <c r="J197" s="342">
        <v>1</v>
      </c>
      <c r="K197" s="342"/>
      <c r="L197" s="342" t="s">
        <v>1459</v>
      </c>
      <c r="M197" s="342" t="s">
        <v>702</v>
      </c>
      <c r="N197" s="342" t="s">
        <v>1460</v>
      </c>
      <c r="O197" s="342" t="s">
        <v>1461</v>
      </c>
      <c r="P197" s="342" t="s">
        <v>1461</v>
      </c>
      <c r="Q197" s="342" t="s">
        <v>1461</v>
      </c>
      <c r="R197" s="342"/>
      <c r="S197" s="342" t="s">
        <v>1462</v>
      </c>
      <c r="T197" s="342" t="s">
        <v>1463</v>
      </c>
      <c r="U197" s="342" t="s">
        <v>26</v>
      </c>
      <c r="V197" s="342" t="s">
        <v>702</v>
      </c>
      <c r="W197" s="342" t="s">
        <v>718</v>
      </c>
      <c r="X197" s="342">
        <f t="shared" si="2"/>
        <v>10</v>
      </c>
    </row>
    <row r="198" spans="1:24" ht="77.25" customHeight="1" x14ac:dyDescent="0.3">
      <c r="A198" s="342" t="s">
        <v>367</v>
      </c>
      <c r="B198" s="342" t="s">
        <v>1474</v>
      </c>
      <c r="C198" s="342">
        <v>0</v>
      </c>
      <c r="D198" s="342">
        <v>0</v>
      </c>
      <c r="E198" s="342">
        <v>0</v>
      </c>
      <c r="F198" s="342">
        <v>0</v>
      </c>
      <c r="G198" s="342">
        <v>0</v>
      </c>
      <c r="H198" s="342">
        <v>1</v>
      </c>
      <c r="I198" s="342">
        <v>0</v>
      </c>
      <c r="J198" s="342">
        <v>1</v>
      </c>
      <c r="K198" s="342"/>
      <c r="L198" s="342" t="s">
        <v>1459</v>
      </c>
      <c r="M198" s="342" t="s">
        <v>702</v>
      </c>
      <c r="N198" s="342" t="s">
        <v>1460</v>
      </c>
      <c r="O198" s="342" t="s">
        <v>1461</v>
      </c>
      <c r="P198" s="342" t="s">
        <v>1461</v>
      </c>
      <c r="Q198" s="342" t="s">
        <v>1461</v>
      </c>
      <c r="R198" s="342"/>
      <c r="S198" s="342" t="s">
        <v>1462</v>
      </c>
      <c r="T198" s="342" t="s">
        <v>1463</v>
      </c>
      <c r="U198" s="342" t="s">
        <v>26</v>
      </c>
      <c r="V198" s="342" t="s">
        <v>702</v>
      </c>
      <c r="W198" s="342" t="s">
        <v>718</v>
      </c>
      <c r="X198" s="342">
        <f t="shared" si="2"/>
        <v>10</v>
      </c>
    </row>
    <row r="199" spans="1:24" ht="77.25" customHeight="1" x14ac:dyDescent="0.3">
      <c r="A199" s="342" t="s">
        <v>368</v>
      </c>
      <c r="B199" s="342" t="s">
        <v>1475</v>
      </c>
      <c r="C199" s="342">
        <v>0</v>
      </c>
      <c r="D199" s="342">
        <v>0</v>
      </c>
      <c r="E199" s="342">
        <v>0</v>
      </c>
      <c r="F199" s="342">
        <v>0</v>
      </c>
      <c r="G199" s="342">
        <v>0</v>
      </c>
      <c r="H199" s="342">
        <v>1</v>
      </c>
      <c r="I199" s="342">
        <v>0</v>
      </c>
      <c r="J199" s="342">
        <v>1</v>
      </c>
      <c r="K199" s="342"/>
      <c r="L199" s="342" t="s">
        <v>1459</v>
      </c>
      <c r="M199" s="342" t="s">
        <v>702</v>
      </c>
      <c r="N199" s="342" t="s">
        <v>1460</v>
      </c>
      <c r="O199" s="342" t="s">
        <v>1461</v>
      </c>
      <c r="P199" s="342" t="s">
        <v>1461</v>
      </c>
      <c r="Q199" s="342" t="s">
        <v>1461</v>
      </c>
      <c r="R199" s="342"/>
      <c r="S199" s="342" t="s">
        <v>1462</v>
      </c>
      <c r="T199" s="342" t="s">
        <v>1463</v>
      </c>
      <c r="U199" s="342" t="s">
        <v>26</v>
      </c>
      <c r="V199" s="342" t="s">
        <v>702</v>
      </c>
      <c r="W199" s="342" t="s">
        <v>718</v>
      </c>
      <c r="X199" s="342">
        <f t="shared" si="2"/>
        <v>10</v>
      </c>
    </row>
    <row r="200" spans="1:24" ht="77.25" customHeight="1" x14ac:dyDescent="0.3">
      <c r="A200" s="342" t="s">
        <v>369</v>
      </c>
      <c r="B200" s="342" t="s">
        <v>1476</v>
      </c>
      <c r="C200" s="342">
        <v>0</v>
      </c>
      <c r="D200" s="342">
        <v>0</v>
      </c>
      <c r="E200" s="342">
        <v>0</v>
      </c>
      <c r="F200" s="342">
        <v>0</v>
      </c>
      <c r="G200" s="342">
        <v>0</v>
      </c>
      <c r="H200" s="342">
        <v>1</v>
      </c>
      <c r="I200" s="342">
        <v>0</v>
      </c>
      <c r="J200" s="342">
        <v>1</v>
      </c>
      <c r="K200" s="342"/>
      <c r="L200" s="342" t="s">
        <v>1459</v>
      </c>
      <c r="M200" s="342" t="s">
        <v>702</v>
      </c>
      <c r="N200" s="342" t="s">
        <v>1460</v>
      </c>
      <c r="O200" s="342" t="s">
        <v>1461</v>
      </c>
      <c r="P200" s="342" t="s">
        <v>1461</v>
      </c>
      <c r="Q200" s="342" t="s">
        <v>1461</v>
      </c>
      <c r="R200" s="342"/>
      <c r="S200" s="342" t="s">
        <v>1462</v>
      </c>
      <c r="T200" s="342" t="s">
        <v>1463</v>
      </c>
      <c r="U200" s="342" t="s">
        <v>46</v>
      </c>
      <c r="V200" s="342" t="s">
        <v>702</v>
      </c>
      <c r="W200" s="342" t="s">
        <v>718</v>
      </c>
      <c r="X200" s="342">
        <f t="shared" si="2"/>
        <v>10</v>
      </c>
    </row>
    <row r="201" spans="1:24" ht="77.25" customHeight="1" x14ac:dyDescent="0.3">
      <c r="A201" s="342" t="s">
        <v>370</v>
      </c>
      <c r="B201" s="342" t="s">
        <v>1477</v>
      </c>
      <c r="C201" s="342">
        <v>0</v>
      </c>
      <c r="D201" s="342">
        <v>0</v>
      </c>
      <c r="E201" s="342">
        <v>0</v>
      </c>
      <c r="F201" s="342">
        <v>0</v>
      </c>
      <c r="G201" s="342">
        <v>0</v>
      </c>
      <c r="H201" s="342">
        <v>1</v>
      </c>
      <c r="I201" s="342">
        <v>0</v>
      </c>
      <c r="J201" s="342">
        <v>1</v>
      </c>
      <c r="K201" s="342"/>
      <c r="L201" s="342" t="s">
        <v>1459</v>
      </c>
      <c r="M201" s="342" t="s">
        <v>702</v>
      </c>
      <c r="N201" s="342" t="s">
        <v>1460</v>
      </c>
      <c r="O201" s="342" t="s">
        <v>1461</v>
      </c>
      <c r="P201" s="342" t="s">
        <v>1461</v>
      </c>
      <c r="Q201" s="342" t="s">
        <v>1461</v>
      </c>
      <c r="R201" s="342"/>
      <c r="S201" s="342" t="s">
        <v>1462</v>
      </c>
      <c r="T201" s="342" t="s">
        <v>1463</v>
      </c>
      <c r="U201" s="342" t="s">
        <v>26</v>
      </c>
      <c r="V201" s="342" t="s">
        <v>702</v>
      </c>
      <c r="W201" s="342" t="s">
        <v>718</v>
      </c>
      <c r="X201" s="342">
        <f t="shared" si="2"/>
        <v>10</v>
      </c>
    </row>
    <row r="202" spans="1:24" ht="77.25" customHeight="1" x14ac:dyDescent="0.3">
      <c r="A202" s="342" t="s">
        <v>371</v>
      </c>
      <c r="B202" s="342" t="s">
        <v>1478</v>
      </c>
      <c r="C202" s="342">
        <v>0</v>
      </c>
      <c r="D202" s="342">
        <v>0</v>
      </c>
      <c r="E202" s="342">
        <v>0</v>
      </c>
      <c r="F202" s="342">
        <v>0</v>
      </c>
      <c r="G202" s="342">
        <v>0</v>
      </c>
      <c r="H202" s="342">
        <v>1</v>
      </c>
      <c r="I202" s="342">
        <v>0</v>
      </c>
      <c r="J202" s="342">
        <v>1</v>
      </c>
      <c r="K202" s="342"/>
      <c r="L202" s="342" t="s">
        <v>1459</v>
      </c>
      <c r="M202" s="342" t="s">
        <v>702</v>
      </c>
      <c r="N202" s="342" t="s">
        <v>1460</v>
      </c>
      <c r="O202" s="342" t="s">
        <v>1461</v>
      </c>
      <c r="P202" s="342" t="s">
        <v>1461</v>
      </c>
      <c r="Q202" s="342" t="s">
        <v>1461</v>
      </c>
      <c r="R202" s="342"/>
      <c r="S202" s="342" t="s">
        <v>1462</v>
      </c>
      <c r="T202" s="342" t="s">
        <v>1463</v>
      </c>
      <c r="U202" s="342" t="s">
        <v>26</v>
      </c>
      <c r="V202" s="342" t="s">
        <v>702</v>
      </c>
      <c r="W202" s="342" t="s">
        <v>718</v>
      </c>
      <c r="X202" s="342">
        <f t="shared" si="2"/>
        <v>10</v>
      </c>
    </row>
    <row r="203" spans="1:24" ht="77.25" customHeight="1" x14ac:dyDescent="0.3">
      <c r="A203" s="342" t="s">
        <v>372</v>
      </c>
      <c r="B203" s="342" t="s">
        <v>1479</v>
      </c>
      <c r="C203" s="342">
        <v>0</v>
      </c>
      <c r="D203" s="342">
        <v>0</v>
      </c>
      <c r="E203" s="342">
        <v>0</v>
      </c>
      <c r="F203" s="342">
        <v>0</v>
      </c>
      <c r="G203" s="342">
        <v>0</v>
      </c>
      <c r="H203" s="342">
        <v>1</v>
      </c>
      <c r="I203" s="342">
        <v>0</v>
      </c>
      <c r="J203" s="342">
        <v>1</v>
      </c>
      <c r="K203" s="342"/>
      <c r="L203" s="342" t="s">
        <v>1459</v>
      </c>
      <c r="M203" s="342" t="s">
        <v>702</v>
      </c>
      <c r="N203" s="342" t="s">
        <v>1460</v>
      </c>
      <c r="O203" s="342" t="s">
        <v>1461</v>
      </c>
      <c r="P203" s="342" t="s">
        <v>1461</v>
      </c>
      <c r="Q203" s="342" t="s">
        <v>1461</v>
      </c>
      <c r="R203" s="342"/>
      <c r="S203" s="342" t="s">
        <v>1462</v>
      </c>
      <c r="T203" s="342" t="s">
        <v>1463</v>
      </c>
      <c r="U203" s="342" t="s">
        <v>26</v>
      </c>
      <c r="V203" s="342" t="s">
        <v>702</v>
      </c>
      <c r="W203" s="342" t="s">
        <v>718</v>
      </c>
      <c r="X203" s="342">
        <f t="shared" si="2"/>
        <v>10</v>
      </c>
    </row>
    <row r="204" spans="1:24" ht="77.25" customHeight="1" x14ac:dyDescent="0.3">
      <c r="A204" s="342" t="s">
        <v>373</v>
      </c>
      <c r="B204" s="342" t="s">
        <v>1480</v>
      </c>
      <c r="C204" s="342">
        <v>0</v>
      </c>
      <c r="D204" s="342">
        <v>0</v>
      </c>
      <c r="E204" s="342">
        <v>0</v>
      </c>
      <c r="F204" s="342">
        <v>0</v>
      </c>
      <c r="G204" s="342">
        <v>0</v>
      </c>
      <c r="H204" s="342">
        <v>1</v>
      </c>
      <c r="I204" s="342">
        <v>0</v>
      </c>
      <c r="J204" s="342">
        <v>1</v>
      </c>
      <c r="K204" s="342"/>
      <c r="L204" s="342" t="s">
        <v>1459</v>
      </c>
      <c r="M204" s="342" t="s">
        <v>702</v>
      </c>
      <c r="N204" s="342" t="s">
        <v>1460</v>
      </c>
      <c r="O204" s="342" t="s">
        <v>1461</v>
      </c>
      <c r="P204" s="342" t="s">
        <v>1461</v>
      </c>
      <c r="Q204" s="342" t="s">
        <v>1461</v>
      </c>
      <c r="R204" s="342"/>
      <c r="S204" s="342" t="s">
        <v>1462</v>
      </c>
      <c r="T204" s="342" t="s">
        <v>1463</v>
      </c>
      <c r="U204" s="342" t="s">
        <v>46</v>
      </c>
      <c r="V204" s="342" t="s">
        <v>702</v>
      </c>
      <c r="W204" s="342" t="s">
        <v>718</v>
      </c>
      <c r="X204" s="342">
        <f t="shared" ref="X204:X237" si="3">IF($W204="Critical Importance",20,IF($W204="Minor Importance",5,10))</f>
        <v>10</v>
      </c>
    </row>
    <row r="205" spans="1:24" ht="77.25" customHeight="1" x14ac:dyDescent="0.3">
      <c r="A205" s="342" t="s">
        <v>374</v>
      </c>
      <c r="B205" s="342" t="s">
        <v>1481</v>
      </c>
      <c r="C205" s="342">
        <v>0</v>
      </c>
      <c r="D205" s="342">
        <v>0</v>
      </c>
      <c r="E205" s="342">
        <v>0</v>
      </c>
      <c r="F205" s="342">
        <v>0</v>
      </c>
      <c r="G205" s="342">
        <v>0</v>
      </c>
      <c r="H205" s="342">
        <v>1</v>
      </c>
      <c r="I205" s="342">
        <v>0</v>
      </c>
      <c r="J205" s="342">
        <v>1</v>
      </c>
      <c r="K205" s="342"/>
      <c r="L205" s="342" t="s">
        <v>1459</v>
      </c>
      <c r="M205" s="342" t="s">
        <v>702</v>
      </c>
      <c r="N205" s="342" t="s">
        <v>1460</v>
      </c>
      <c r="O205" s="342" t="s">
        <v>1461</v>
      </c>
      <c r="P205" s="342" t="s">
        <v>1461</v>
      </c>
      <c r="Q205" s="342" t="s">
        <v>1461</v>
      </c>
      <c r="R205" s="342"/>
      <c r="S205" s="342" t="s">
        <v>1462</v>
      </c>
      <c r="T205" s="342" t="s">
        <v>1463</v>
      </c>
      <c r="U205" s="342" t="s">
        <v>26</v>
      </c>
      <c r="V205" s="342" t="s">
        <v>702</v>
      </c>
      <c r="W205" s="342" t="s">
        <v>718</v>
      </c>
      <c r="X205" s="342">
        <f t="shared" si="3"/>
        <v>10</v>
      </c>
    </row>
    <row r="206" spans="1:24" ht="77.25" customHeight="1" x14ac:dyDescent="0.3">
      <c r="A206" s="342" t="s">
        <v>375</v>
      </c>
      <c r="B206" s="342" t="s">
        <v>1482</v>
      </c>
      <c r="C206" s="342">
        <v>0</v>
      </c>
      <c r="D206" s="342">
        <v>0</v>
      </c>
      <c r="E206" s="342">
        <v>0</v>
      </c>
      <c r="F206" s="342">
        <v>0</v>
      </c>
      <c r="G206" s="342">
        <v>0</v>
      </c>
      <c r="H206" s="342">
        <v>1</v>
      </c>
      <c r="I206" s="342">
        <v>0</v>
      </c>
      <c r="J206" s="342">
        <v>1</v>
      </c>
      <c r="K206" s="342"/>
      <c r="L206" s="342" t="s">
        <v>1459</v>
      </c>
      <c r="M206" s="342" t="s">
        <v>702</v>
      </c>
      <c r="N206" s="342" t="s">
        <v>1460</v>
      </c>
      <c r="O206" s="342" t="s">
        <v>1461</v>
      </c>
      <c r="P206" s="342" t="s">
        <v>1461</v>
      </c>
      <c r="Q206" s="342" t="s">
        <v>1461</v>
      </c>
      <c r="R206" s="342"/>
      <c r="S206" s="342" t="s">
        <v>1462</v>
      </c>
      <c r="T206" s="342" t="s">
        <v>1463</v>
      </c>
      <c r="U206" s="342" t="s">
        <v>26</v>
      </c>
      <c r="V206" s="342" t="s">
        <v>702</v>
      </c>
      <c r="W206" s="342" t="s">
        <v>718</v>
      </c>
      <c r="X206" s="342">
        <f t="shared" si="3"/>
        <v>10</v>
      </c>
    </row>
    <row r="207" spans="1:24" ht="77.25" customHeight="1" x14ac:dyDescent="0.3">
      <c r="A207" s="342" t="s">
        <v>376</v>
      </c>
      <c r="B207" s="342" t="s">
        <v>1483</v>
      </c>
      <c r="C207" s="342">
        <v>0</v>
      </c>
      <c r="D207" s="342">
        <v>0</v>
      </c>
      <c r="E207" s="342">
        <v>0</v>
      </c>
      <c r="F207" s="342">
        <v>0</v>
      </c>
      <c r="G207" s="342">
        <v>0</v>
      </c>
      <c r="H207" s="342">
        <v>1</v>
      </c>
      <c r="I207" s="342">
        <v>0</v>
      </c>
      <c r="J207" s="342">
        <v>1</v>
      </c>
      <c r="K207" s="342"/>
      <c r="L207" s="342" t="s">
        <v>1459</v>
      </c>
      <c r="M207" s="342" t="s">
        <v>702</v>
      </c>
      <c r="N207" s="342" t="s">
        <v>1460</v>
      </c>
      <c r="O207" s="342" t="s">
        <v>1461</v>
      </c>
      <c r="P207" s="342" t="s">
        <v>1461</v>
      </c>
      <c r="Q207" s="342" t="s">
        <v>1461</v>
      </c>
      <c r="R207" s="342"/>
      <c r="S207" s="342" t="s">
        <v>1462</v>
      </c>
      <c r="T207" s="342" t="s">
        <v>1463</v>
      </c>
      <c r="U207" s="342" t="s">
        <v>26</v>
      </c>
      <c r="V207" s="342" t="s">
        <v>702</v>
      </c>
      <c r="W207" s="342" t="s">
        <v>718</v>
      </c>
      <c r="X207" s="342">
        <f t="shared" si="3"/>
        <v>10</v>
      </c>
    </row>
    <row r="208" spans="1:24" ht="77.25" customHeight="1" x14ac:dyDescent="0.3">
      <c r="A208" s="342" t="s">
        <v>377</v>
      </c>
      <c r="B208" s="342" t="s">
        <v>1484</v>
      </c>
      <c r="C208" s="342">
        <v>0</v>
      </c>
      <c r="D208" s="342">
        <v>0</v>
      </c>
      <c r="E208" s="342">
        <v>0</v>
      </c>
      <c r="F208" s="342">
        <v>0</v>
      </c>
      <c r="G208" s="342">
        <v>0</v>
      </c>
      <c r="H208" s="342">
        <v>1</v>
      </c>
      <c r="I208" s="342">
        <v>0</v>
      </c>
      <c r="J208" s="342">
        <v>1</v>
      </c>
      <c r="K208" s="342"/>
      <c r="L208" s="342" t="s">
        <v>1459</v>
      </c>
      <c r="M208" s="342" t="s">
        <v>702</v>
      </c>
      <c r="N208" s="342" t="s">
        <v>1460</v>
      </c>
      <c r="O208" s="342" t="s">
        <v>1461</v>
      </c>
      <c r="P208" s="342" t="s">
        <v>1461</v>
      </c>
      <c r="Q208" s="342" t="s">
        <v>1461</v>
      </c>
      <c r="R208" s="342"/>
      <c r="S208" s="342" t="s">
        <v>1462</v>
      </c>
      <c r="T208" s="342" t="s">
        <v>1463</v>
      </c>
      <c r="U208" s="342" t="s">
        <v>26</v>
      </c>
      <c r="V208" s="342" t="s">
        <v>702</v>
      </c>
      <c r="W208" s="342" t="s">
        <v>718</v>
      </c>
      <c r="X208" s="342">
        <f t="shared" si="3"/>
        <v>10</v>
      </c>
    </row>
    <row r="209" spans="1:24" ht="77.25" customHeight="1" x14ac:dyDescent="0.3">
      <c r="A209" s="342" t="s">
        <v>378</v>
      </c>
      <c r="B209" s="342" t="s">
        <v>1485</v>
      </c>
      <c r="C209" s="342">
        <v>0</v>
      </c>
      <c r="D209" s="342">
        <v>0</v>
      </c>
      <c r="E209" s="342">
        <v>0</v>
      </c>
      <c r="F209" s="342">
        <v>0</v>
      </c>
      <c r="G209" s="342">
        <v>0</v>
      </c>
      <c r="H209" s="342">
        <v>1</v>
      </c>
      <c r="I209" s="342">
        <v>0</v>
      </c>
      <c r="J209" s="342">
        <v>1</v>
      </c>
      <c r="K209" s="342"/>
      <c r="L209" s="342" t="s">
        <v>1459</v>
      </c>
      <c r="M209" s="342" t="s">
        <v>702</v>
      </c>
      <c r="N209" s="342" t="s">
        <v>1460</v>
      </c>
      <c r="O209" s="342" t="s">
        <v>1461</v>
      </c>
      <c r="P209" s="342" t="s">
        <v>1486</v>
      </c>
      <c r="Q209" s="342" t="s">
        <v>1486</v>
      </c>
      <c r="R209" s="342"/>
      <c r="S209" s="342" t="s">
        <v>1462</v>
      </c>
      <c r="T209" s="342" t="s">
        <v>1463</v>
      </c>
      <c r="U209" s="342" t="s">
        <v>26</v>
      </c>
      <c r="V209" s="342" t="s">
        <v>702</v>
      </c>
      <c r="W209" s="342" t="s">
        <v>718</v>
      </c>
      <c r="X209" s="342">
        <f t="shared" si="3"/>
        <v>10</v>
      </c>
    </row>
    <row r="210" spans="1:24" ht="77.25" customHeight="1" x14ac:dyDescent="0.3">
      <c r="A210" s="342" t="s">
        <v>379</v>
      </c>
      <c r="B210" s="342" t="s">
        <v>1487</v>
      </c>
      <c r="C210" s="342">
        <v>0</v>
      </c>
      <c r="D210" s="342">
        <v>0</v>
      </c>
      <c r="E210" s="342">
        <v>0</v>
      </c>
      <c r="F210" s="342">
        <v>0</v>
      </c>
      <c r="G210" s="342">
        <v>0</v>
      </c>
      <c r="H210" s="342">
        <v>1</v>
      </c>
      <c r="I210" s="342">
        <v>0</v>
      </c>
      <c r="J210" s="342">
        <v>1</v>
      </c>
      <c r="K210" s="342"/>
      <c r="L210" s="342" t="s">
        <v>1459</v>
      </c>
      <c r="M210" s="342" t="s">
        <v>702</v>
      </c>
      <c r="N210" s="342" t="s">
        <v>1460</v>
      </c>
      <c r="O210" s="342" t="s">
        <v>1461</v>
      </c>
      <c r="P210" s="342" t="s">
        <v>1461</v>
      </c>
      <c r="Q210" s="342" t="s">
        <v>1461</v>
      </c>
      <c r="R210" s="342"/>
      <c r="S210" s="342" t="s">
        <v>1462</v>
      </c>
      <c r="T210" s="342" t="s">
        <v>1463</v>
      </c>
      <c r="U210" s="342" t="s">
        <v>26</v>
      </c>
      <c r="V210" s="342" t="s">
        <v>702</v>
      </c>
      <c r="W210" s="342" t="s">
        <v>718</v>
      </c>
      <c r="X210" s="342">
        <f t="shared" si="3"/>
        <v>10</v>
      </c>
    </row>
    <row r="211" spans="1:24" ht="77.25" customHeight="1" x14ac:dyDescent="0.3">
      <c r="A211" s="342" t="s">
        <v>380</v>
      </c>
      <c r="B211" s="342" t="s">
        <v>1488</v>
      </c>
      <c r="C211" s="342">
        <v>0</v>
      </c>
      <c r="D211" s="342">
        <v>0</v>
      </c>
      <c r="E211" s="342">
        <v>0</v>
      </c>
      <c r="F211" s="342">
        <v>0</v>
      </c>
      <c r="G211" s="342">
        <v>0</v>
      </c>
      <c r="H211" s="342">
        <v>1</v>
      </c>
      <c r="I211" s="342">
        <v>0</v>
      </c>
      <c r="J211" s="342">
        <v>1</v>
      </c>
      <c r="K211" s="342"/>
      <c r="L211" s="342" t="s">
        <v>1459</v>
      </c>
      <c r="M211" s="342" t="s">
        <v>702</v>
      </c>
      <c r="N211" s="342" t="s">
        <v>1460</v>
      </c>
      <c r="O211" s="342" t="s">
        <v>1461</v>
      </c>
      <c r="P211" s="342" t="s">
        <v>1461</v>
      </c>
      <c r="Q211" s="342" t="s">
        <v>1461</v>
      </c>
      <c r="R211" s="342"/>
      <c r="S211" s="342" t="s">
        <v>1462</v>
      </c>
      <c r="T211" s="342" t="s">
        <v>1463</v>
      </c>
      <c r="U211" s="342" t="s">
        <v>26</v>
      </c>
      <c r="V211" s="342" t="s">
        <v>702</v>
      </c>
      <c r="W211" s="342" t="s">
        <v>718</v>
      </c>
      <c r="X211" s="342">
        <f t="shared" si="3"/>
        <v>10</v>
      </c>
    </row>
    <row r="212" spans="1:24" ht="77.25" customHeight="1" x14ac:dyDescent="0.3">
      <c r="A212" s="342" t="s">
        <v>381</v>
      </c>
      <c r="B212" s="342" t="s">
        <v>1489</v>
      </c>
      <c r="C212" s="342">
        <v>0</v>
      </c>
      <c r="D212" s="342">
        <v>0</v>
      </c>
      <c r="E212" s="342">
        <v>0</v>
      </c>
      <c r="F212" s="342">
        <v>0</v>
      </c>
      <c r="G212" s="342">
        <v>0</v>
      </c>
      <c r="H212" s="342">
        <v>1</v>
      </c>
      <c r="I212" s="342">
        <v>0</v>
      </c>
      <c r="J212" s="342">
        <v>1</v>
      </c>
      <c r="K212" s="342"/>
      <c r="L212" s="342" t="s">
        <v>1459</v>
      </c>
      <c r="M212" s="342" t="s">
        <v>702</v>
      </c>
      <c r="N212" s="342" t="s">
        <v>1460</v>
      </c>
      <c r="O212" s="342" t="s">
        <v>1461</v>
      </c>
      <c r="P212" s="342" t="s">
        <v>1461</v>
      </c>
      <c r="Q212" s="342" t="s">
        <v>1461</v>
      </c>
      <c r="R212" s="342"/>
      <c r="S212" s="342" t="s">
        <v>1462</v>
      </c>
      <c r="T212" s="342" t="s">
        <v>1463</v>
      </c>
      <c r="U212" s="342" t="s">
        <v>26</v>
      </c>
      <c r="V212" s="342" t="s">
        <v>702</v>
      </c>
      <c r="W212" s="342" t="s">
        <v>718</v>
      </c>
      <c r="X212" s="342">
        <f t="shared" si="3"/>
        <v>10</v>
      </c>
    </row>
    <row r="213" spans="1:24" ht="77.25" customHeight="1" x14ac:dyDescent="0.3">
      <c r="A213" s="342" t="s">
        <v>382</v>
      </c>
      <c r="B213" s="342" t="s">
        <v>1490</v>
      </c>
      <c r="C213" s="342">
        <v>0</v>
      </c>
      <c r="D213" s="342">
        <v>0</v>
      </c>
      <c r="E213" s="342">
        <v>0</v>
      </c>
      <c r="F213" s="342">
        <v>0</v>
      </c>
      <c r="G213" s="342">
        <v>0</v>
      </c>
      <c r="H213" s="342">
        <v>1</v>
      </c>
      <c r="I213" s="342">
        <v>0</v>
      </c>
      <c r="J213" s="342">
        <v>1</v>
      </c>
      <c r="K213" s="342"/>
      <c r="L213" s="342" t="s">
        <v>1459</v>
      </c>
      <c r="M213" s="342" t="s">
        <v>702</v>
      </c>
      <c r="N213" s="342" t="s">
        <v>1460</v>
      </c>
      <c r="O213" s="342" t="s">
        <v>1461</v>
      </c>
      <c r="P213" s="342" t="s">
        <v>1461</v>
      </c>
      <c r="Q213" s="342" t="s">
        <v>1461</v>
      </c>
      <c r="R213" s="342"/>
      <c r="S213" s="342" t="s">
        <v>1462</v>
      </c>
      <c r="T213" s="342" t="s">
        <v>1463</v>
      </c>
      <c r="U213" s="342" t="s">
        <v>26</v>
      </c>
      <c r="V213" s="342" t="s">
        <v>702</v>
      </c>
      <c r="W213" s="342" t="s">
        <v>718</v>
      </c>
      <c r="X213" s="342">
        <f t="shared" si="3"/>
        <v>10</v>
      </c>
    </row>
    <row r="214" spans="1:24" ht="77.25" customHeight="1" x14ac:dyDescent="0.3">
      <c r="A214" s="342" t="s">
        <v>383</v>
      </c>
      <c r="B214" s="342" t="s">
        <v>1491</v>
      </c>
      <c r="C214" s="342">
        <v>0</v>
      </c>
      <c r="D214" s="342">
        <v>0</v>
      </c>
      <c r="E214" s="342">
        <v>0</v>
      </c>
      <c r="F214" s="342">
        <v>0</v>
      </c>
      <c r="G214" s="342">
        <v>0</v>
      </c>
      <c r="H214" s="342">
        <v>1</v>
      </c>
      <c r="I214" s="342">
        <v>0</v>
      </c>
      <c r="J214" s="342">
        <v>1</v>
      </c>
      <c r="K214" s="342"/>
      <c r="L214" s="342" t="s">
        <v>1459</v>
      </c>
      <c r="M214" s="342" t="s">
        <v>702</v>
      </c>
      <c r="N214" s="342" t="s">
        <v>1460</v>
      </c>
      <c r="O214" s="342" t="s">
        <v>1461</v>
      </c>
      <c r="P214" s="342" t="s">
        <v>1461</v>
      </c>
      <c r="Q214" s="342" t="s">
        <v>1461</v>
      </c>
      <c r="R214" s="342"/>
      <c r="S214" s="342" t="s">
        <v>1462</v>
      </c>
      <c r="T214" s="342" t="s">
        <v>1463</v>
      </c>
      <c r="U214" s="342" t="s">
        <v>26</v>
      </c>
      <c r="V214" s="342" t="s">
        <v>702</v>
      </c>
      <c r="W214" s="342" t="s">
        <v>718</v>
      </c>
      <c r="X214" s="342">
        <f t="shared" si="3"/>
        <v>10</v>
      </c>
    </row>
    <row r="215" spans="1:24" ht="77.25" customHeight="1" x14ac:dyDescent="0.3">
      <c r="A215" s="342" t="s">
        <v>384</v>
      </c>
      <c r="B215" s="342" t="s">
        <v>1492</v>
      </c>
      <c r="C215" s="342">
        <v>0</v>
      </c>
      <c r="D215" s="342">
        <v>0</v>
      </c>
      <c r="E215" s="342">
        <v>0</v>
      </c>
      <c r="F215" s="342">
        <v>0</v>
      </c>
      <c r="G215" s="342">
        <v>0</v>
      </c>
      <c r="H215" s="342">
        <v>1</v>
      </c>
      <c r="I215" s="342">
        <v>0</v>
      </c>
      <c r="J215" s="342">
        <v>1</v>
      </c>
      <c r="K215" s="342"/>
      <c r="L215" s="342" t="s">
        <v>1459</v>
      </c>
      <c r="M215" s="342" t="s">
        <v>702</v>
      </c>
      <c r="N215" s="342" t="s">
        <v>1460</v>
      </c>
      <c r="O215" s="342" t="s">
        <v>1461</v>
      </c>
      <c r="P215" s="342" t="s">
        <v>1461</v>
      </c>
      <c r="Q215" s="342" t="s">
        <v>1461</v>
      </c>
      <c r="R215" s="342"/>
      <c r="S215" s="342" t="s">
        <v>1462</v>
      </c>
      <c r="T215" s="342" t="s">
        <v>1463</v>
      </c>
      <c r="U215" s="342" t="s">
        <v>26</v>
      </c>
      <c r="V215" s="342" t="s">
        <v>702</v>
      </c>
      <c r="W215" s="342" t="s">
        <v>727</v>
      </c>
      <c r="X215" s="342">
        <f t="shared" si="3"/>
        <v>5</v>
      </c>
    </row>
    <row r="216" spans="1:24" ht="60.75" customHeight="1" x14ac:dyDescent="0.3">
      <c r="A216" s="354" t="s">
        <v>385</v>
      </c>
      <c r="B216" s="354" t="s">
        <v>1493</v>
      </c>
      <c r="C216" s="342">
        <v>0</v>
      </c>
      <c r="D216" s="342">
        <v>0</v>
      </c>
      <c r="E216" s="342">
        <v>0</v>
      </c>
      <c r="F216" s="342">
        <v>0</v>
      </c>
      <c r="G216" s="342">
        <v>0</v>
      </c>
      <c r="H216" s="342">
        <v>1</v>
      </c>
      <c r="I216" s="342">
        <v>0</v>
      </c>
      <c r="J216" s="342">
        <v>1</v>
      </c>
      <c r="K216" s="342"/>
      <c r="L216" s="342" t="s">
        <v>890</v>
      </c>
      <c r="M216" s="342" t="s">
        <v>702</v>
      </c>
      <c r="N216" s="342" t="s">
        <v>1494</v>
      </c>
      <c r="O216" s="342" t="s">
        <v>1495</v>
      </c>
      <c r="P216" s="342" t="s">
        <v>1495</v>
      </c>
      <c r="Q216" s="342" t="s">
        <v>1495</v>
      </c>
      <c r="R216" s="342"/>
      <c r="S216" s="342" t="s">
        <v>1496</v>
      </c>
      <c r="T216" s="342" t="s">
        <v>1497</v>
      </c>
      <c r="U216" s="342" t="s">
        <v>26</v>
      </c>
      <c r="V216" s="342" t="s">
        <v>702</v>
      </c>
      <c r="W216" s="342" t="s">
        <v>769</v>
      </c>
      <c r="X216" s="342">
        <f t="shared" si="3"/>
        <v>20</v>
      </c>
    </row>
    <row r="217" spans="1:24" ht="56" x14ac:dyDescent="0.3">
      <c r="A217" s="354" t="s">
        <v>386</v>
      </c>
      <c r="B217" s="354" t="s">
        <v>1498</v>
      </c>
      <c r="C217" s="342">
        <v>0</v>
      </c>
      <c r="D217" s="342">
        <v>0</v>
      </c>
      <c r="E217" s="342">
        <v>0</v>
      </c>
      <c r="F217" s="342">
        <v>0</v>
      </c>
      <c r="G217" s="342">
        <v>0</v>
      </c>
      <c r="H217" s="342">
        <v>1</v>
      </c>
      <c r="I217" s="342">
        <v>0</v>
      </c>
      <c r="J217" s="342">
        <v>1</v>
      </c>
      <c r="K217" s="342"/>
      <c r="L217" s="342" t="s">
        <v>890</v>
      </c>
      <c r="M217" s="342" t="s">
        <v>702</v>
      </c>
      <c r="N217" s="342" t="s">
        <v>1494</v>
      </c>
      <c r="O217" s="342" t="s">
        <v>1495</v>
      </c>
      <c r="P217" s="342" t="s">
        <v>1495</v>
      </c>
      <c r="Q217" s="342" t="s">
        <v>1495</v>
      </c>
      <c r="R217" s="342"/>
      <c r="S217" s="342" t="s">
        <v>1496</v>
      </c>
      <c r="T217" s="342" t="s">
        <v>1497</v>
      </c>
      <c r="U217" s="342" t="s">
        <v>46</v>
      </c>
      <c r="V217" s="342" t="s">
        <v>702</v>
      </c>
      <c r="W217" s="342" t="s">
        <v>769</v>
      </c>
      <c r="X217" s="342">
        <f t="shared" si="3"/>
        <v>20</v>
      </c>
    </row>
    <row r="218" spans="1:24" ht="56" x14ac:dyDescent="0.3">
      <c r="A218" s="354" t="s">
        <v>387</v>
      </c>
      <c r="B218" s="354" t="s">
        <v>1499</v>
      </c>
      <c r="C218" s="342">
        <v>0</v>
      </c>
      <c r="D218" s="342">
        <v>0</v>
      </c>
      <c r="E218" s="342">
        <v>0</v>
      </c>
      <c r="F218" s="342">
        <v>0</v>
      </c>
      <c r="G218" s="342">
        <v>0</v>
      </c>
      <c r="H218" s="342">
        <v>1</v>
      </c>
      <c r="I218" s="342">
        <v>0</v>
      </c>
      <c r="J218" s="342">
        <v>1</v>
      </c>
      <c r="K218" s="342"/>
      <c r="L218" s="342" t="s">
        <v>890</v>
      </c>
      <c r="M218" s="342" t="s">
        <v>702</v>
      </c>
      <c r="N218" s="342" t="s">
        <v>1494</v>
      </c>
      <c r="O218" s="342" t="s">
        <v>1495</v>
      </c>
      <c r="P218" s="342" t="s">
        <v>1495</v>
      </c>
      <c r="Q218" s="342" t="s">
        <v>1495</v>
      </c>
      <c r="R218" s="342"/>
      <c r="S218" s="342" t="s">
        <v>1496</v>
      </c>
      <c r="T218" s="342" t="s">
        <v>1497</v>
      </c>
      <c r="U218" s="342" t="s">
        <v>46</v>
      </c>
      <c r="V218" s="342" t="s">
        <v>702</v>
      </c>
      <c r="W218" s="342" t="s">
        <v>769</v>
      </c>
      <c r="X218" s="342">
        <f t="shared" si="3"/>
        <v>20</v>
      </c>
    </row>
    <row r="219" spans="1:24" ht="56" x14ac:dyDescent="0.3">
      <c r="A219" s="342" t="s">
        <v>388</v>
      </c>
      <c r="B219" s="342" t="s">
        <v>1500</v>
      </c>
      <c r="C219" s="342">
        <v>0</v>
      </c>
      <c r="D219" s="342">
        <v>0</v>
      </c>
      <c r="E219" s="342">
        <v>0</v>
      </c>
      <c r="F219" s="342">
        <v>0</v>
      </c>
      <c r="G219" s="342">
        <v>0</v>
      </c>
      <c r="H219" s="342">
        <v>1</v>
      </c>
      <c r="I219" s="342">
        <v>0</v>
      </c>
      <c r="J219" s="342">
        <v>1</v>
      </c>
      <c r="K219" s="342"/>
      <c r="L219" s="342" t="s">
        <v>890</v>
      </c>
      <c r="M219" s="342" t="s">
        <v>702</v>
      </c>
      <c r="N219" s="342" t="s">
        <v>1494</v>
      </c>
      <c r="O219" s="342" t="s">
        <v>1495</v>
      </c>
      <c r="P219" s="342" t="s">
        <v>1495</v>
      </c>
      <c r="Q219" s="342" t="s">
        <v>1495</v>
      </c>
      <c r="R219" s="342"/>
      <c r="S219" s="342" t="s">
        <v>1496</v>
      </c>
      <c r="T219" s="342" t="s">
        <v>1497</v>
      </c>
      <c r="U219" s="342" t="s">
        <v>26</v>
      </c>
      <c r="V219" s="342" t="s">
        <v>702</v>
      </c>
      <c r="W219" s="342" t="s">
        <v>718</v>
      </c>
      <c r="X219" s="342">
        <f t="shared" si="3"/>
        <v>10</v>
      </c>
    </row>
    <row r="220" spans="1:24" ht="56" x14ac:dyDescent="0.3">
      <c r="A220" s="342" t="s">
        <v>389</v>
      </c>
      <c r="B220" s="342" t="s">
        <v>1501</v>
      </c>
      <c r="C220" s="342">
        <v>0</v>
      </c>
      <c r="D220" s="342">
        <v>0</v>
      </c>
      <c r="E220" s="342">
        <v>0</v>
      </c>
      <c r="F220" s="342">
        <v>0</v>
      </c>
      <c r="G220" s="342">
        <v>0</v>
      </c>
      <c r="H220" s="342">
        <v>1</v>
      </c>
      <c r="I220" s="342">
        <v>0</v>
      </c>
      <c r="J220" s="342">
        <v>1</v>
      </c>
      <c r="K220" s="342"/>
      <c r="L220" s="342" t="s">
        <v>890</v>
      </c>
      <c r="M220" s="342" t="s">
        <v>702</v>
      </c>
      <c r="N220" s="342" t="s">
        <v>1494</v>
      </c>
      <c r="O220" s="342" t="s">
        <v>1495</v>
      </c>
      <c r="P220" s="342" t="s">
        <v>1495</v>
      </c>
      <c r="Q220" s="342" t="s">
        <v>1495</v>
      </c>
      <c r="R220" s="342"/>
      <c r="S220" s="342" t="s">
        <v>1496</v>
      </c>
      <c r="T220" s="342" t="s">
        <v>1497</v>
      </c>
      <c r="U220" s="342" t="s">
        <v>26</v>
      </c>
      <c r="V220" s="342" t="s">
        <v>702</v>
      </c>
      <c r="W220" s="342" t="s">
        <v>718</v>
      </c>
      <c r="X220" s="342">
        <f t="shared" si="3"/>
        <v>10</v>
      </c>
    </row>
    <row r="221" spans="1:24" ht="56" x14ac:dyDescent="0.3">
      <c r="A221" s="342" t="s">
        <v>390</v>
      </c>
      <c r="B221" s="342" t="s">
        <v>1502</v>
      </c>
      <c r="C221" s="342">
        <v>0</v>
      </c>
      <c r="D221" s="342">
        <v>0</v>
      </c>
      <c r="E221" s="342">
        <v>0</v>
      </c>
      <c r="F221" s="342">
        <v>0</v>
      </c>
      <c r="G221" s="342">
        <v>0</v>
      </c>
      <c r="H221" s="342">
        <v>1</v>
      </c>
      <c r="I221" s="342">
        <v>0</v>
      </c>
      <c r="J221" s="342">
        <v>1</v>
      </c>
      <c r="K221" s="342"/>
      <c r="L221" s="342" t="s">
        <v>890</v>
      </c>
      <c r="M221" s="342" t="s">
        <v>702</v>
      </c>
      <c r="N221" s="342" t="s">
        <v>1494</v>
      </c>
      <c r="O221" s="342" t="s">
        <v>1495</v>
      </c>
      <c r="P221" s="342" t="s">
        <v>1495</v>
      </c>
      <c r="Q221" s="342" t="s">
        <v>1495</v>
      </c>
      <c r="R221" s="342"/>
      <c r="S221" s="342" t="s">
        <v>1496</v>
      </c>
      <c r="T221" s="342" t="s">
        <v>1497</v>
      </c>
      <c r="U221" s="342" t="s">
        <v>26</v>
      </c>
      <c r="V221" s="342" t="s">
        <v>702</v>
      </c>
      <c r="W221" s="342" t="s">
        <v>718</v>
      </c>
      <c r="X221" s="342">
        <f t="shared" si="3"/>
        <v>10</v>
      </c>
    </row>
    <row r="222" spans="1:24" ht="56" x14ac:dyDescent="0.3">
      <c r="A222" s="342" t="s">
        <v>391</v>
      </c>
      <c r="B222" s="342" t="s">
        <v>1503</v>
      </c>
      <c r="C222" s="342">
        <v>0</v>
      </c>
      <c r="D222" s="342">
        <v>0</v>
      </c>
      <c r="E222" s="342">
        <v>0</v>
      </c>
      <c r="F222" s="342">
        <v>0</v>
      </c>
      <c r="G222" s="342">
        <v>0</v>
      </c>
      <c r="H222" s="342">
        <v>1</v>
      </c>
      <c r="I222" s="342">
        <v>0</v>
      </c>
      <c r="J222" s="342">
        <v>1</v>
      </c>
      <c r="K222" s="342"/>
      <c r="L222" s="342" t="s">
        <v>890</v>
      </c>
      <c r="M222" s="342" t="s">
        <v>702</v>
      </c>
      <c r="N222" s="342" t="s">
        <v>1494</v>
      </c>
      <c r="O222" s="342" t="s">
        <v>1495</v>
      </c>
      <c r="P222" s="342" t="s">
        <v>1495</v>
      </c>
      <c r="Q222" s="342" t="s">
        <v>1495</v>
      </c>
      <c r="R222" s="342"/>
      <c r="S222" s="342" t="s">
        <v>1496</v>
      </c>
      <c r="T222" s="342" t="s">
        <v>1497</v>
      </c>
      <c r="U222" s="342" t="s">
        <v>26</v>
      </c>
      <c r="V222" s="342" t="s">
        <v>702</v>
      </c>
      <c r="W222" s="342" t="s">
        <v>718</v>
      </c>
      <c r="X222" s="342">
        <f t="shared" si="3"/>
        <v>10</v>
      </c>
    </row>
    <row r="223" spans="1:24" ht="56" x14ac:dyDescent="0.3">
      <c r="A223" s="342" t="s">
        <v>392</v>
      </c>
      <c r="B223" s="342" t="s">
        <v>1504</v>
      </c>
      <c r="C223" s="342">
        <v>0</v>
      </c>
      <c r="D223" s="342">
        <v>0</v>
      </c>
      <c r="E223" s="342">
        <v>0</v>
      </c>
      <c r="F223" s="342">
        <v>0</v>
      </c>
      <c r="G223" s="342">
        <v>0</v>
      </c>
      <c r="H223" s="342">
        <v>1</v>
      </c>
      <c r="I223" s="342">
        <v>0</v>
      </c>
      <c r="J223" s="342">
        <v>1</v>
      </c>
      <c r="K223" s="342"/>
      <c r="L223" s="342" t="s">
        <v>890</v>
      </c>
      <c r="M223" s="342" t="s">
        <v>702</v>
      </c>
      <c r="N223" s="342" t="s">
        <v>1494</v>
      </c>
      <c r="O223" s="342" t="s">
        <v>1495</v>
      </c>
      <c r="P223" s="342" t="s">
        <v>1495</v>
      </c>
      <c r="Q223" s="342" t="s">
        <v>1495</v>
      </c>
      <c r="R223" s="342"/>
      <c r="S223" s="342" t="s">
        <v>1496</v>
      </c>
      <c r="T223" s="342" t="s">
        <v>1497</v>
      </c>
      <c r="U223" s="342" t="s">
        <v>26</v>
      </c>
      <c r="V223" s="342" t="s">
        <v>702</v>
      </c>
      <c r="W223" s="342" t="s">
        <v>718</v>
      </c>
      <c r="X223" s="342">
        <f t="shared" si="3"/>
        <v>10</v>
      </c>
    </row>
    <row r="224" spans="1:24" ht="56" x14ac:dyDescent="0.3">
      <c r="A224" s="342" t="s">
        <v>393</v>
      </c>
      <c r="B224" s="342" t="s">
        <v>1505</v>
      </c>
      <c r="C224" s="342">
        <v>0</v>
      </c>
      <c r="D224" s="342">
        <v>0</v>
      </c>
      <c r="E224" s="342">
        <v>0</v>
      </c>
      <c r="F224" s="342">
        <v>0</v>
      </c>
      <c r="G224" s="342">
        <v>0</v>
      </c>
      <c r="H224" s="342">
        <v>1</v>
      </c>
      <c r="I224" s="342">
        <v>0</v>
      </c>
      <c r="J224" s="342">
        <v>1</v>
      </c>
      <c r="K224" s="342"/>
      <c r="L224" s="342" t="s">
        <v>700</v>
      </c>
      <c r="M224" s="342" t="s">
        <v>702</v>
      </c>
      <c r="N224" s="342" t="s">
        <v>1494</v>
      </c>
      <c r="O224" s="342" t="s">
        <v>1495</v>
      </c>
      <c r="P224" s="342" t="s">
        <v>1495</v>
      </c>
      <c r="Q224" s="342" t="s">
        <v>1495</v>
      </c>
      <c r="R224" s="342"/>
      <c r="S224" s="342" t="s">
        <v>1496</v>
      </c>
      <c r="T224" s="342" t="s">
        <v>1497</v>
      </c>
      <c r="U224" s="342" t="s">
        <v>700</v>
      </c>
      <c r="V224" s="342" t="s">
        <v>702</v>
      </c>
      <c r="W224" s="342"/>
      <c r="X224" s="342"/>
    </row>
    <row r="225" spans="1:24" ht="56" x14ac:dyDescent="0.3">
      <c r="A225" s="342" t="s">
        <v>394</v>
      </c>
      <c r="B225" s="342" t="s">
        <v>1506</v>
      </c>
      <c r="C225" s="342">
        <v>0</v>
      </c>
      <c r="D225" s="342">
        <v>0</v>
      </c>
      <c r="E225" s="342">
        <v>0</v>
      </c>
      <c r="F225" s="342">
        <v>0</v>
      </c>
      <c r="G225" s="342">
        <v>0</v>
      </c>
      <c r="H225" s="342">
        <v>1</v>
      </c>
      <c r="I225" s="342">
        <v>0</v>
      </c>
      <c r="J225" s="342">
        <v>1</v>
      </c>
      <c r="K225" s="342"/>
      <c r="L225" s="342" t="s">
        <v>700</v>
      </c>
      <c r="M225" s="342" t="s">
        <v>702</v>
      </c>
      <c r="N225" s="342" t="s">
        <v>1494</v>
      </c>
      <c r="O225" s="342" t="s">
        <v>1495</v>
      </c>
      <c r="P225" s="342" t="s">
        <v>1495</v>
      </c>
      <c r="Q225" s="342" t="s">
        <v>1495</v>
      </c>
      <c r="R225" s="342"/>
      <c r="S225" s="342" t="s">
        <v>1496</v>
      </c>
      <c r="T225" s="342" t="s">
        <v>1497</v>
      </c>
      <c r="U225" s="342" t="s">
        <v>700</v>
      </c>
      <c r="V225" s="342" t="s">
        <v>702</v>
      </c>
      <c r="W225" s="342"/>
      <c r="X225" s="342"/>
    </row>
    <row r="226" spans="1:24" ht="56" x14ac:dyDescent="0.3">
      <c r="A226" s="342" t="s">
        <v>395</v>
      </c>
      <c r="B226" s="342" t="s">
        <v>1507</v>
      </c>
      <c r="C226" s="342">
        <v>0</v>
      </c>
      <c r="D226" s="342">
        <v>0</v>
      </c>
      <c r="E226" s="342">
        <v>0</v>
      </c>
      <c r="F226" s="342">
        <v>0</v>
      </c>
      <c r="G226" s="342">
        <v>0</v>
      </c>
      <c r="H226" s="342">
        <v>1</v>
      </c>
      <c r="I226" s="342">
        <v>0</v>
      </c>
      <c r="J226" s="342">
        <v>1</v>
      </c>
      <c r="K226" s="342"/>
      <c r="L226" s="342" t="s">
        <v>890</v>
      </c>
      <c r="M226" s="342" t="s">
        <v>702</v>
      </c>
      <c r="N226" s="342" t="s">
        <v>1494</v>
      </c>
      <c r="O226" s="342" t="s">
        <v>1495</v>
      </c>
      <c r="P226" s="342" t="s">
        <v>1495</v>
      </c>
      <c r="Q226" s="342" t="s">
        <v>1495</v>
      </c>
      <c r="R226" s="342"/>
      <c r="S226" s="342" t="s">
        <v>1496</v>
      </c>
      <c r="T226" s="342" t="s">
        <v>1497</v>
      </c>
      <c r="U226" s="342" t="s">
        <v>26</v>
      </c>
      <c r="V226" s="342" t="s">
        <v>702</v>
      </c>
      <c r="W226" s="342" t="s">
        <v>727</v>
      </c>
      <c r="X226" s="342">
        <f t="shared" si="3"/>
        <v>5</v>
      </c>
    </row>
    <row r="227" spans="1:24" ht="70" x14ac:dyDescent="0.3">
      <c r="A227" s="342" t="s">
        <v>396</v>
      </c>
      <c r="B227" s="342" t="s">
        <v>1508</v>
      </c>
      <c r="C227" s="342">
        <v>0</v>
      </c>
      <c r="D227" s="342">
        <v>0</v>
      </c>
      <c r="E227" s="342">
        <v>0</v>
      </c>
      <c r="F227" s="342">
        <v>0</v>
      </c>
      <c r="G227" s="342">
        <v>0</v>
      </c>
      <c r="H227" s="342">
        <v>1</v>
      </c>
      <c r="I227" s="342">
        <v>0</v>
      </c>
      <c r="J227" s="342">
        <v>1</v>
      </c>
      <c r="K227" s="342"/>
      <c r="L227" s="342" t="s">
        <v>700</v>
      </c>
      <c r="M227" s="342" t="s">
        <v>702</v>
      </c>
      <c r="N227" s="342" t="s">
        <v>1494</v>
      </c>
      <c r="O227" s="342" t="s">
        <v>1495</v>
      </c>
      <c r="P227" s="342" t="s">
        <v>1495</v>
      </c>
      <c r="Q227" s="342" t="s">
        <v>1495</v>
      </c>
      <c r="R227" s="342"/>
      <c r="S227" s="342" t="s">
        <v>1496</v>
      </c>
      <c r="T227" s="342" t="s">
        <v>1497</v>
      </c>
      <c r="U227" s="342" t="s">
        <v>700</v>
      </c>
      <c r="V227" s="342" t="s">
        <v>702</v>
      </c>
      <c r="W227" s="342"/>
      <c r="X227" s="342"/>
    </row>
    <row r="228" spans="1:24" ht="235.5" customHeight="1" x14ac:dyDescent="0.3">
      <c r="A228" s="221" t="s">
        <v>397</v>
      </c>
      <c r="B228" s="342" t="s">
        <v>1509</v>
      </c>
      <c r="C228" s="342">
        <v>0</v>
      </c>
      <c r="D228" s="342">
        <v>0</v>
      </c>
      <c r="E228" s="342">
        <v>0</v>
      </c>
      <c r="F228" s="342">
        <v>0</v>
      </c>
      <c r="G228" s="342">
        <v>0</v>
      </c>
      <c r="H228" s="342">
        <v>1</v>
      </c>
      <c r="I228" s="342">
        <v>0</v>
      </c>
      <c r="J228" s="342">
        <v>0</v>
      </c>
      <c r="K228" s="342"/>
      <c r="L228" s="342" t="s">
        <v>890</v>
      </c>
      <c r="M228" s="342" t="s">
        <v>699</v>
      </c>
      <c r="N228" s="342" t="s">
        <v>1510</v>
      </c>
      <c r="O228" s="342" t="s">
        <v>699</v>
      </c>
      <c r="P228" s="342" t="s">
        <v>1511</v>
      </c>
      <c r="Q228" s="342" t="s">
        <v>1512</v>
      </c>
      <c r="R228" s="342"/>
      <c r="S228" s="342" t="s">
        <v>1513</v>
      </c>
      <c r="T228" s="342" t="s">
        <v>1514</v>
      </c>
      <c r="U228" s="342" t="s">
        <v>26</v>
      </c>
      <c r="V228" s="342" t="s">
        <v>699</v>
      </c>
      <c r="W228" s="342" t="s">
        <v>718</v>
      </c>
      <c r="X228" s="342">
        <f t="shared" si="3"/>
        <v>10</v>
      </c>
    </row>
    <row r="229" spans="1:24" ht="231" customHeight="1" x14ac:dyDescent="0.3">
      <c r="A229" s="221" t="s">
        <v>398</v>
      </c>
      <c r="B229" s="342" t="s">
        <v>1515</v>
      </c>
      <c r="C229" s="342">
        <v>0</v>
      </c>
      <c r="D229" s="342">
        <v>0</v>
      </c>
      <c r="E229" s="342">
        <v>0</v>
      </c>
      <c r="F229" s="342">
        <v>0</v>
      </c>
      <c r="G229" s="342">
        <v>0</v>
      </c>
      <c r="H229" s="342">
        <v>1</v>
      </c>
      <c r="I229" s="342">
        <v>0</v>
      </c>
      <c r="J229" s="342">
        <v>0</v>
      </c>
      <c r="K229" s="342"/>
      <c r="L229" s="342" t="s">
        <v>890</v>
      </c>
      <c r="M229" s="342" t="s">
        <v>699</v>
      </c>
      <c r="N229" s="342" t="s">
        <v>1510</v>
      </c>
      <c r="O229" s="342" t="s">
        <v>699</v>
      </c>
      <c r="P229" s="342" t="s">
        <v>699</v>
      </c>
      <c r="Q229" s="342" t="s">
        <v>1516</v>
      </c>
      <c r="R229" s="342"/>
      <c r="S229" s="342" t="s">
        <v>1517</v>
      </c>
      <c r="T229" s="342" t="s">
        <v>1518</v>
      </c>
      <c r="U229" s="342" t="s">
        <v>46</v>
      </c>
      <c r="V229" s="342" t="s">
        <v>699</v>
      </c>
      <c r="W229" s="342" t="s">
        <v>718</v>
      </c>
      <c r="X229" s="342">
        <f t="shared" si="3"/>
        <v>10</v>
      </c>
    </row>
    <row r="230" spans="1:24" ht="196" x14ac:dyDescent="0.3">
      <c r="A230" s="221" t="s">
        <v>399</v>
      </c>
      <c r="B230" s="342" t="s">
        <v>1519</v>
      </c>
      <c r="C230" s="342">
        <v>0</v>
      </c>
      <c r="D230" s="342">
        <v>0</v>
      </c>
      <c r="E230" s="342">
        <v>0</v>
      </c>
      <c r="F230" s="342">
        <v>0</v>
      </c>
      <c r="G230" s="342">
        <v>0</v>
      </c>
      <c r="H230" s="342">
        <v>1</v>
      </c>
      <c r="I230" s="342">
        <v>0</v>
      </c>
      <c r="J230" s="342">
        <v>0</v>
      </c>
      <c r="K230" s="342"/>
      <c r="L230" s="342" t="s">
        <v>890</v>
      </c>
      <c r="M230" s="342" t="s">
        <v>699</v>
      </c>
      <c r="N230" s="342" t="s">
        <v>1510</v>
      </c>
      <c r="O230" s="342" t="s">
        <v>699</v>
      </c>
      <c r="P230" s="342" t="s">
        <v>1520</v>
      </c>
      <c r="Q230" s="342" t="s">
        <v>1521</v>
      </c>
      <c r="R230" s="342"/>
      <c r="S230" s="342" t="s">
        <v>1522</v>
      </c>
      <c r="T230" s="342" t="s">
        <v>1523</v>
      </c>
      <c r="U230" s="342" t="s">
        <v>26</v>
      </c>
      <c r="V230" s="342" t="s">
        <v>699</v>
      </c>
      <c r="W230" s="342" t="s">
        <v>718</v>
      </c>
      <c r="X230" s="342">
        <f t="shared" si="3"/>
        <v>10</v>
      </c>
    </row>
    <row r="231" spans="1:24" ht="228.75" customHeight="1" x14ac:dyDescent="0.3">
      <c r="A231" s="221" t="s">
        <v>400</v>
      </c>
      <c r="B231" s="342" t="s">
        <v>1524</v>
      </c>
      <c r="C231" s="342">
        <v>0</v>
      </c>
      <c r="D231" s="342">
        <v>0</v>
      </c>
      <c r="E231" s="342">
        <v>0</v>
      </c>
      <c r="F231" s="342">
        <v>0</v>
      </c>
      <c r="G231" s="342">
        <v>0</v>
      </c>
      <c r="H231" s="342">
        <v>1</v>
      </c>
      <c r="I231" s="342">
        <v>0</v>
      </c>
      <c r="J231" s="342">
        <v>0</v>
      </c>
      <c r="K231" s="342"/>
      <c r="L231" s="342" t="s">
        <v>890</v>
      </c>
      <c r="M231" s="342" t="s">
        <v>699</v>
      </c>
      <c r="N231" s="342" t="s">
        <v>1510</v>
      </c>
      <c r="O231" s="342" t="s">
        <v>699</v>
      </c>
      <c r="P231" s="342" t="s">
        <v>699</v>
      </c>
      <c r="Q231" s="342" t="s">
        <v>1516</v>
      </c>
      <c r="R231" s="342"/>
      <c r="S231" s="342" t="s">
        <v>1525</v>
      </c>
      <c r="T231" s="342" t="s">
        <v>1518</v>
      </c>
      <c r="U231" s="342" t="s">
        <v>46</v>
      </c>
      <c r="V231" s="342" t="s">
        <v>699</v>
      </c>
      <c r="W231" s="342" t="s">
        <v>718</v>
      </c>
      <c r="X231" s="342">
        <f t="shared" si="3"/>
        <v>10</v>
      </c>
    </row>
    <row r="232" spans="1:24" ht="214.5" customHeight="1" x14ac:dyDescent="0.3">
      <c r="A232" s="221" t="s">
        <v>401</v>
      </c>
      <c r="B232" s="342" t="s">
        <v>1526</v>
      </c>
      <c r="C232" s="342">
        <v>0</v>
      </c>
      <c r="D232" s="342">
        <v>0</v>
      </c>
      <c r="E232" s="342">
        <v>0</v>
      </c>
      <c r="F232" s="342">
        <v>0</v>
      </c>
      <c r="G232" s="342">
        <v>0</v>
      </c>
      <c r="H232" s="342">
        <v>1</v>
      </c>
      <c r="I232" s="342">
        <v>0</v>
      </c>
      <c r="J232" s="342">
        <v>0</v>
      </c>
      <c r="K232" s="342"/>
      <c r="L232" s="342" t="s">
        <v>890</v>
      </c>
      <c r="M232" s="342" t="s">
        <v>699</v>
      </c>
      <c r="N232" s="342" t="s">
        <v>1510</v>
      </c>
      <c r="O232" s="342" t="s">
        <v>699</v>
      </c>
      <c r="P232" s="342" t="s">
        <v>699</v>
      </c>
      <c r="Q232" s="342" t="s">
        <v>1527</v>
      </c>
      <c r="R232" s="342" t="s">
        <v>895</v>
      </c>
      <c r="S232" s="342" t="s">
        <v>1528</v>
      </c>
      <c r="T232" s="342" t="s">
        <v>1529</v>
      </c>
      <c r="U232" s="342" t="s">
        <v>26</v>
      </c>
      <c r="V232" s="342" t="s">
        <v>699</v>
      </c>
      <c r="W232" s="342" t="s">
        <v>718</v>
      </c>
      <c r="X232" s="342">
        <f t="shared" si="3"/>
        <v>10</v>
      </c>
    </row>
    <row r="233" spans="1:24" ht="90" customHeight="1" x14ac:dyDescent="0.3">
      <c r="A233" s="221" t="s">
        <v>402</v>
      </c>
      <c r="B233" s="342" t="s">
        <v>1530</v>
      </c>
      <c r="C233" s="342">
        <v>0</v>
      </c>
      <c r="D233" s="342">
        <v>0</v>
      </c>
      <c r="E233" s="342">
        <v>0</v>
      </c>
      <c r="F233" s="342">
        <v>0</v>
      </c>
      <c r="G233" s="342">
        <v>0</v>
      </c>
      <c r="H233" s="342">
        <v>1</v>
      </c>
      <c r="I233" s="342">
        <v>0</v>
      </c>
      <c r="J233" s="342">
        <v>0</v>
      </c>
      <c r="K233" s="342"/>
      <c r="L233" s="342" t="s">
        <v>890</v>
      </c>
      <c r="M233" s="342" t="s">
        <v>699</v>
      </c>
      <c r="N233" s="342" t="s">
        <v>1510</v>
      </c>
      <c r="O233" s="342" t="s">
        <v>699</v>
      </c>
      <c r="P233" s="342" t="s">
        <v>1531</v>
      </c>
      <c r="Q233" s="342" t="s">
        <v>1532</v>
      </c>
      <c r="R233" s="342" t="s">
        <v>895</v>
      </c>
      <c r="S233" s="342" t="s">
        <v>1533</v>
      </c>
      <c r="T233" s="342" t="s">
        <v>1534</v>
      </c>
      <c r="U233" s="342" t="s">
        <v>26</v>
      </c>
      <c r="V233" s="342" t="s">
        <v>699</v>
      </c>
      <c r="W233" s="342" t="s">
        <v>718</v>
      </c>
      <c r="X233" s="342">
        <f t="shared" si="3"/>
        <v>10</v>
      </c>
    </row>
    <row r="234" spans="1:24" ht="140" x14ac:dyDescent="0.3">
      <c r="A234" s="221" t="s">
        <v>403</v>
      </c>
      <c r="B234" s="342" t="s">
        <v>1535</v>
      </c>
      <c r="C234" s="342">
        <v>0</v>
      </c>
      <c r="D234" s="342">
        <v>0</v>
      </c>
      <c r="E234" s="342">
        <v>0</v>
      </c>
      <c r="F234" s="342">
        <v>0</v>
      </c>
      <c r="G234" s="342">
        <v>0</v>
      </c>
      <c r="H234" s="342">
        <v>1</v>
      </c>
      <c r="I234" s="342">
        <v>0</v>
      </c>
      <c r="J234" s="342">
        <v>0</v>
      </c>
      <c r="K234" s="342"/>
      <c r="L234" s="342" t="s">
        <v>890</v>
      </c>
      <c r="M234" s="342" t="s">
        <v>699</v>
      </c>
      <c r="N234" s="342" t="s">
        <v>1510</v>
      </c>
      <c r="O234" s="342" t="s">
        <v>699</v>
      </c>
      <c r="P234" s="342" t="s">
        <v>1536</v>
      </c>
      <c r="Q234" s="342" t="s">
        <v>1537</v>
      </c>
      <c r="R234" s="342"/>
      <c r="S234" s="342" t="s">
        <v>1538</v>
      </c>
      <c r="T234" s="342" t="s">
        <v>1539</v>
      </c>
      <c r="U234" s="342" t="s">
        <v>26</v>
      </c>
      <c r="V234" s="342" t="s">
        <v>699</v>
      </c>
      <c r="W234" s="342" t="s">
        <v>718</v>
      </c>
      <c r="X234" s="342">
        <f t="shared" si="3"/>
        <v>10</v>
      </c>
    </row>
    <row r="235" spans="1:24" ht="126" x14ac:dyDescent="0.3">
      <c r="A235" s="221" t="s">
        <v>404</v>
      </c>
      <c r="B235" s="342" t="s">
        <v>1540</v>
      </c>
      <c r="C235" s="342">
        <v>0</v>
      </c>
      <c r="D235" s="342">
        <v>0</v>
      </c>
      <c r="E235" s="342">
        <v>0</v>
      </c>
      <c r="F235" s="342">
        <v>0</v>
      </c>
      <c r="G235" s="342">
        <v>0</v>
      </c>
      <c r="H235" s="342">
        <v>1</v>
      </c>
      <c r="I235" s="342">
        <v>0</v>
      </c>
      <c r="J235" s="342">
        <v>0</v>
      </c>
      <c r="K235" s="342"/>
      <c r="L235" s="342" t="s">
        <v>700</v>
      </c>
      <c r="M235" s="342" t="s">
        <v>699</v>
      </c>
      <c r="N235" s="342" t="s">
        <v>1510</v>
      </c>
      <c r="O235" s="342" t="s">
        <v>1541</v>
      </c>
      <c r="P235" s="342" t="s">
        <v>1541</v>
      </c>
      <c r="Q235" s="342" t="s">
        <v>1541</v>
      </c>
      <c r="R235" s="342"/>
      <c r="S235" s="342" t="s">
        <v>1542</v>
      </c>
      <c r="T235" s="342" t="s">
        <v>1543</v>
      </c>
      <c r="U235" s="342" t="s">
        <v>700</v>
      </c>
      <c r="V235" s="342" t="s">
        <v>699</v>
      </c>
      <c r="W235" s="342"/>
      <c r="X235" s="342"/>
    </row>
    <row r="236" spans="1:24" ht="168" x14ac:dyDescent="0.3">
      <c r="A236" s="221" t="s">
        <v>405</v>
      </c>
      <c r="B236" s="342" t="s">
        <v>1544</v>
      </c>
      <c r="C236" s="342">
        <v>0</v>
      </c>
      <c r="D236" s="342">
        <v>0</v>
      </c>
      <c r="E236" s="342">
        <v>0</v>
      </c>
      <c r="F236" s="342">
        <v>0</v>
      </c>
      <c r="G236" s="342">
        <v>0</v>
      </c>
      <c r="H236" s="342">
        <v>1</v>
      </c>
      <c r="I236" s="342">
        <v>0</v>
      </c>
      <c r="J236" s="342">
        <v>0</v>
      </c>
      <c r="K236" s="342"/>
      <c r="L236" s="342" t="s">
        <v>700</v>
      </c>
      <c r="M236" s="342" t="s">
        <v>699</v>
      </c>
      <c r="N236" s="342" t="s">
        <v>1510</v>
      </c>
      <c r="O236" s="342" t="s">
        <v>1545</v>
      </c>
      <c r="P236" s="342" t="s">
        <v>1545</v>
      </c>
      <c r="Q236" s="342" t="s">
        <v>1545</v>
      </c>
      <c r="R236" s="342"/>
      <c r="S236" s="342" t="s">
        <v>1546</v>
      </c>
      <c r="T236" s="342" t="s">
        <v>1547</v>
      </c>
      <c r="U236" s="342" t="s">
        <v>700</v>
      </c>
      <c r="V236" s="342" t="s">
        <v>699</v>
      </c>
      <c r="W236" s="342"/>
      <c r="X236" s="342"/>
    </row>
    <row r="237" spans="1:24" ht="196" x14ac:dyDescent="0.3">
      <c r="A237" s="221" t="s">
        <v>406</v>
      </c>
      <c r="B237" s="342" t="s">
        <v>1548</v>
      </c>
      <c r="C237" s="342">
        <v>0</v>
      </c>
      <c r="D237" s="342">
        <v>0</v>
      </c>
      <c r="E237" s="342">
        <v>0</v>
      </c>
      <c r="F237" s="342">
        <v>0</v>
      </c>
      <c r="G237" s="342">
        <v>0</v>
      </c>
      <c r="H237" s="342">
        <v>1</v>
      </c>
      <c r="I237" s="342">
        <v>0</v>
      </c>
      <c r="J237" s="342">
        <v>0</v>
      </c>
      <c r="K237" s="342"/>
      <c r="L237" s="342" t="s">
        <v>890</v>
      </c>
      <c r="M237" s="342" t="s">
        <v>699</v>
      </c>
      <c r="N237" s="342" t="s">
        <v>1510</v>
      </c>
      <c r="O237" s="342" t="s">
        <v>699</v>
      </c>
      <c r="P237" s="342" t="s">
        <v>1549</v>
      </c>
      <c r="Q237" s="342" t="s">
        <v>1550</v>
      </c>
      <c r="R237" s="342"/>
      <c r="S237" s="342" t="s">
        <v>1551</v>
      </c>
      <c r="T237" s="342" t="s">
        <v>1552</v>
      </c>
      <c r="U237" s="342" t="s">
        <v>26</v>
      </c>
      <c r="V237" s="342" t="s">
        <v>699</v>
      </c>
      <c r="W237" s="342" t="s">
        <v>727</v>
      </c>
      <c r="X237" s="342">
        <f t="shared" si="3"/>
        <v>5</v>
      </c>
    </row>
    <row r="238" spans="1:24" ht="84" x14ac:dyDescent="0.3">
      <c r="A238" s="343" t="s">
        <v>464</v>
      </c>
      <c r="B238" s="343" t="s">
        <v>1553</v>
      </c>
      <c r="C238" s="344">
        <v>0</v>
      </c>
      <c r="D238" s="344">
        <v>0</v>
      </c>
      <c r="E238" s="344">
        <v>0</v>
      </c>
      <c r="F238" s="344">
        <v>0</v>
      </c>
      <c r="G238" s="344">
        <v>0</v>
      </c>
      <c r="H238" s="344">
        <v>0</v>
      </c>
      <c r="I238" s="344">
        <v>0</v>
      </c>
      <c r="J238" s="344">
        <v>1</v>
      </c>
      <c r="K238" s="343" t="s">
        <v>697</v>
      </c>
      <c r="L238" s="343" t="s">
        <v>700</v>
      </c>
      <c r="M238" s="345"/>
      <c r="N238" s="345"/>
      <c r="O238" s="343" t="s">
        <v>1554</v>
      </c>
      <c r="P238" s="343" t="s">
        <v>1554</v>
      </c>
      <c r="Q238" s="343" t="s">
        <v>1555</v>
      </c>
      <c r="R238" s="345"/>
      <c r="S238" s="343" t="s">
        <v>1556</v>
      </c>
      <c r="T238" s="343" t="s">
        <v>1557</v>
      </c>
      <c r="U238" s="343" t="s">
        <v>700</v>
      </c>
      <c r="V238" s="345"/>
      <c r="W238" s="345"/>
      <c r="X238" s="344"/>
    </row>
    <row r="239" spans="1:24" ht="168" x14ac:dyDescent="0.3">
      <c r="A239" s="343" t="s">
        <v>466</v>
      </c>
      <c r="B239" s="343" t="s">
        <v>1558</v>
      </c>
      <c r="C239" s="344">
        <v>0</v>
      </c>
      <c r="D239" s="344">
        <v>0</v>
      </c>
      <c r="E239" s="344">
        <v>0</v>
      </c>
      <c r="F239" s="344">
        <v>0</v>
      </c>
      <c r="G239" s="344">
        <v>0</v>
      </c>
      <c r="H239" s="344">
        <v>0</v>
      </c>
      <c r="I239" s="344">
        <v>0</v>
      </c>
      <c r="J239" s="344">
        <v>1</v>
      </c>
      <c r="K239" s="343" t="s">
        <v>697</v>
      </c>
      <c r="L239" s="343" t="s">
        <v>700</v>
      </c>
      <c r="M239" s="345"/>
      <c r="N239" s="345"/>
      <c r="O239" s="343" t="s">
        <v>1559</v>
      </c>
      <c r="P239" s="343" t="s">
        <v>1559</v>
      </c>
      <c r="Q239" s="343" t="s">
        <v>1560</v>
      </c>
      <c r="R239" s="345"/>
      <c r="S239" s="343" t="s">
        <v>1556</v>
      </c>
      <c r="T239" s="345"/>
      <c r="U239" s="343" t="s">
        <v>700</v>
      </c>
      <c r="V239" s="345"/>
      <c r="W239" s="345"/>
      <c r="X239" s="344"/>
    </row>
    <row r="240" spans="1:24" ht="70" x14ac:dyDescent="0.3">
      <c r="A240" s="343" t="s">
        <v>468</v>
      </c>
      <c r="B240" s="343" t="s">
        <v>1561</v>
      </c>
      <c r="C240" s="344">
        <v>0</v>
      </c>
      <c r="D240" s="344">
        <v>0</v>
      </c>
      <c r="E240" s="344">
        <v>0</v>
      </c>
      <c r="F240" s="344">
        <v>0</v>
      </c>
      <c r="G240" s="344">
        <v>0</v>
      </c>
      <c r="H240" s="344">
        <v>0</v>
      </c>
      <c r="I240" s="344">
        <v>0</v>
      </c>
      <c r="J240" s="344">
        <v>1</v>
      </c>
      <c r="K240" s="343" t="s">
        <v>697</v>
      </c>
      <c r="L240" s="343" t="s">
        <v>700</v>
      </c>
      <c r="M240" s="345"/>
      <c r="N240" s="345"/>
      <c r="O240" s="345"/>
      <c r="P240" s="345"/>
      <c r="Q240" s="343" t="s">
        <v>1562</v>
      </c>
      <c r="R240" s="345"/>
      <c r="S240" s="343" t="s">
        <v>1556</v>
      </c>
      <c r="T240" s="345"/>
      <c r="U240" s="343" t="s">
        <v>700</v>
      </c>
      <c r="V240" s="345"/>
      <c r="W240" s="345"/>
      <c r="X240" s="344"/>
    </row>
    <row r="241" spans="1:24" ht="84" x14ac:dyDescent="0.3">
      <c r="A241" s="343" t="s">
        <v>470</v>
      </c>
      <c r="B241" s="343" t="s">
        <v>1563</v>
      </c>
      <c r="C241" s="344">
        <v>0</v>
      </c>
      <c r="D241" s="344">
        <v>0</v>
      </c>
      <c r="E241" s="344">
        <v>0</v>
      </c>
      <c r="F241" s="344">
        <v>0</v>
      </c>
      <c r="G241" s="344">
        <v>0</v>
      </c>
      <c r="H241" s="344">
        <v>0</v>
      </c>
      <c r="I241" s="344">
        <v>0</v>
      </c>
      <c r="J241" s="344">
        <v>1</v>
      </c>
      <c r="K241" s="343" t="s">
        <v>697</v>
      </c>
      <c r="L241" s="343" t="s">
        <v>700</v>
      </c>
      <c r="M241" s="345"/>
      <c r="N241" s="345"/>
      <c r="O241" s="345"/>
      <c r="P241" s="345"/>
      <c r="Q241" s="343" t="s">
        <v>1564</v>
      </c>
      <c r="R241" s="345"/>
      <c r="S241" s="343" t="s">
        <v>1556</v>
      </c>
      <c r="T241" s="345"/>
      <c r="U241" s="343" t="s">
        <v>700</v>
      </c>
      <c r="V241" s="345"/>
      <c r="W241" s="345"/>
      <c r="X241" s="344"/>
    </row>
    <row r="242" spans="1:24" ht="84" x14ac:dyDescent="0.3">
      <c r="A242" s="343" t="s">
        <v>472</v>
      </c>
      <c r="B242" s="343" t="s">
        <v>1565</v>
      </c>
      <c r="C242" s="344">
        <v>0</v>
      </c>
      <c r="D242" s="344">
        <v>0</v>
      </c>
      <c r="E242" s="344">
        <v>0</v>
      </c>
      <c r="F242" s="344">
        <v>0</v>
      </c>
      <c r="G242" s="344">
        <v>0</v>
      </c>
      <c r="H242" s="344">
        <v>0</v>
      </c>
      <c r="I242" s="344">
        <v>0</v>
      </c>
      <c r="J242" s="344">
        <v>1</v>
      </c>
      <c r="K242" s="343"/>
      <c r="L242" s="343" t="s">
        <v>700</v>
      </c>
      <c r="M242" s="345"/>
      <c r="N242" s="345"/>
      <c r="O242" s="343" t="s">
        <v>1566</v>
      </c>
      <c r="P242" s="343" t="s">
        <v>1566</v>
      </c>
      <c r="Q242" s="343" t="s">
        <v>1566</v>
      </c>
      <c r="R242" s="345"/>
      <c r="S242" s="345" t="s">
        <v>1567</v>
      </c>
      <c r="T242" s="345" t="s">
        <v>1568</v>
      </c>
      <c r="U242" s="346" t="s">
        <v>700</v>
      </c>
      <c r="V242" s="345"/>
      <c r="W242" s="343"/>
      <c r="X242" s="344"/>
    </row>
    <row r="243" spans="1:24" ht="84" x14ac:dyDescent="0.3">
      <c r="A243" s="356" t="s">
        <v>474</v>
      </c>
      <c r="B243" s="356" t="s">
        <v>1569</v>
      </c>
      <c r="C243" s="344">
        <v>0</v>
      </c>
      <c r="D243" s="344">
        <v>0</v>
      </c>
      <c r="E243" s="344">
        <v>0</v>
      </c>
      <c r="F243" s="344">
        <v>0</v>
      </c>
      <c r="G243" s="344">
        <v>0</v>
      </c>
      <c r="H243" s="344">
        <v>0</v>
      </c>
      <c r="I243" s="344">
        <v>0</v>
      </c>
      <c r="J243" s="344">
        <v>1</v>
      </c>
      <c r="K243" s="345"/>
      <c r="L243" s="343" t="s">
        <v>683</v>
      </c>
      <c r="M243" s="345"/>
      <c r="N243" s="345"/>
      <c r="O243" s="345"/>
      <c r="P243" s="345"/>
      <c r="Q243" s="343" t="s">
        <v>1570</v>
      </c>
      <c r="R243" s="345"/>
      <c r="S243" s="343" t="s">
        <v>1571</v>
      </c>
      <c r="T243" s="345"/>
      <c r="U243" s="343" t="s">
        <v>46</v>
      </c>
      <c r="V243" s="345"/>
      <c r="W243" s="343" t="s">
        <v>769</v>
      </c>
      <c r="X243" s="344">
        <v>20</v>
      </c>
    </row>
    <row r="244" spans="1:24" ht="15.75" customHeight="1" x14ac:dyDescent="0.3">
      <c r="A244" s="343" t="s">
        <v>475</v>
      </c>
      <c r="B244" s="343" t="s">
        <v>1572</v>
      </c>
      <c r="C244" s="344">
        <v>0</v>
      </c>
      <c r="D244" s="344">
        <v>0</v>
      </c>
      <c r="E244" s="344">
        <v>0</v>
      </c>
      <c r="F244" s="344">
        <v>0</v>
      </c>
      <c r="G244" s="344">
        <v>0</v>
      </c>
      <c r="H244" s="344">
        <v>0</v>
      </c>
      <c r="I244" s="344">
        <v>0</v>
      </c>
      <c r="J244" s="344">
        <v>1</v>
      </c>
      <c r="K244" s="343"/>
      <c r="L244" s="343" t="s">
        <v>700</v>
      </c>
      <c r="M244" s="345"/>
      <c r="N244" s="345"/>
      <c r="O244" s="343" t="s">
        <v>1573</v>
      </c>
      <c r="P244" s="343" t="s">
        <v>1573</v>
      </c>
      <c r="Q244" s="343" t="s">
        <v>1573</v>
      </c>
      <c r="R244" s="345"/>
      <c r="S244" s="345" t="s">
        <v>1574</v>
      </c>
      <c r="T244" s="345"/>
      <c r="U244" s="346" t="s">
        <v>700</v>
      </c>
      <c r="V244" s="345"/>
      <c r="W244" s="343"/>
      <c r="X244" s="344"/>
    </row>
    <row r="245" spans="1:24" ht="84" x14ac:dyDescent="0.3">
      <c r="A245" s="343" t="s">
        <v>477</v>
      </c>
      <c r="B245" s="343" t="s">
        <v>1575</v>
      </c>
      <c r="C245" s="344">
        <v>0</v>
      </c>
      <c r="D245" s="344">
        <v>0</v>
      </c>
      <c r="E245" s="344">
        <v>0</v>
      </c>
      <c r="F245" s="344">
        <v>0</v>
      </c>
      <c r="G245" s="344">
        <v>0</v>
      </c>
      <c r="H245" s="344">
        <v>0</v>
      </c>
      <c r="I245" s="344">
        <v>0</v>
      </c>
      <c r="J245" s="344">
        <v>1</v>
      </c>
      <c r="K245" s="345"/>
      <c r="L245" s="343" t="s">
        <v>683</v>
      </c>
      <c r="M245" s="345"/>
      <c r="N245" s="345"/>
      <c r="O245" s="345"/>
      <c r="P245" s="345"/>
      <c r="Q245" s="343" t="s">
        <v>1576</v>
      </c>
      <c r="R245" s="345"/>
      <c r="S245" s="343" t="s">
        <v>1577</v>
      </c>
      <c r="T245" s="345"/>
      <c r="U245" s="343" t="s">
        <v>46</v>
      </c>
      <c r="V245" s="345"/>
      <c r="W245" s="343" t="s">
        <v>727</v>
      </c>
      <c r="X245" s="344">
        <v>5</v>
      </c>
    </row>
    <row r="246" spans="1:24" ht="84" x14ac:dyDescent="0.3">
      <c r="A246" s="343" t="s">
        <v>478</v>
      </c>
      <c r="B246" s="343" t="s">
        <v>1578</v>
      </c>
      <c r="C246" s="344">
        <v>0</v>
      </c>
      <c r="D246" s="344">
        <v>0</v>
      </c>
      <c r="E246" s="344">
        <v>0</v>
      </c>
      <c r="F246" s="344">
        <v>0</v>
      </c>
      <c r="G246" s="344">
        <v>0</v>
      </c>
      <c r="H246" s="344">
        <v>0</v>
      </c>
      <c r="I246" s="344">
        <v>0</v>
      </c>
      <c r="J246" s="344">
        <v>1</v>
      </c>
      <c r="K246" s="345"/>
      <c r="L246" s="343" t="s">
        <v>683</v>
      </c>
      <c r="M246" s="345"/>
      <c r="N246" s="345"/>
      <c r="O246" s="343" t="s">
        <v>1579</v>
      </c>
      <c r="P246" s="343" t="s">
        <v>1580</v>
      </c>
      <c r="Q246" s="343" t="s">
        <v>1581</v>
      </c>
      <c r="R246" s="345"/>
      <c r="S246" s="343" t="s">
        <v>1582</v>
      </c>
      <c r="T246" s="345"/>
      <c r="U246" s="343" t="s">
        <v>26</v>
      </c>
      <c r="V246" s="345"/>
      <c r="W246" s="343" t="s">
        <v>727</v>
      </c>
      <c r="X246" s="344">
        <v>5</v>
      </c>
    </row>
    <row r="247" spans="1:24" ht="252" x14ac:dyDescent="0.3">
      <c r="A247" s="343" t="s">
        <v>480</v>
      </c>
      <c r="B247" s="343" t="s">
        <v>1583</v>
      </c>
      <c r="C247" s="344">
        <v>0</v>
      </c>
      <c r="D247" s="344">
        <v>0</v>
      </c>
      <c r="E247" s="344">
        <v>0</v>
      </c>
      <c r="F247" s="344">
        <v>0</v>
      </c>
      <c r="G247" s="344">
        <v>0</v>
      </c>
      <c r="H247" s="344">
        <v>0</v>
      </c>
      <c r="I247" s="344">
        <v>0</v>
      </c>
      <c r="J247" s="344">
        <v>1</v>
      </c>
      <c r="K247" s="343"/>
      <c r="L247" s="343" t="s">
        <v>700</v>
      </c>
      <c r="M247" s="345"/>
      <c r="N247" s="345"/>
      <c r="O247" s="343" t="s">
        <v>1584</v>
      </c>
      <c r="P247" s="343" t="s">
        <v>1585</v>
      </c>
      <c r="Q247" s="343" t="s">
        <v>1586</v>
      </c>
      <c r="R247" s="343" t="s">
        <v>867</v>
      </c>
      <c r="S247" s="343" t="s">
        <v>1587</v>
      </c>
      <c r="T247" s="345"/>
      <c r="U247" s="343" t="s">
        <v>700</v>
      </c>
      <c r="V247" s="345"/>
      <c r="W247" s="345"/>
      <c r="X247" s="344"/>
    </row>
    <row r="248" spans="1:24" ht="168" x14ac:dyDescent="0.3">
      <c r="A248" s="343" t="s">
        <v>482</v>
      </c>
      <c r="B248" s="343" t="s">
        <v>1588</v>
      </c>
      <c r="C248" s="344">
        <v>0</v>
      </c>
      <c r="D248" s="344">
        <v>0</v>
      </c>
      <c r="E248" s="344">
        <v>0</v>
      </c>
      <c r="F248" s="344">
        <v>0</v>
      </c>
      <c r="G248" s="344">
        <v>0</v>
      </c>
      <c r="H248" s="344">
        <v>0</v>
      </c>
      <c r="I248" s="344">
        <v>0</v>
      </c>
      <c r="J248" s="344">
        <v>1</v>
      </c>
      <c r="K248" s="343"/>
      <c r="L248" s="343" t="s">
        <v>700</v>
      </c>
      <c r="M248" s="345"/>
      <c r="N248" s="345"/>
      <c r="O248" s="343" t="s">
        <v>1589</v>
      </c>
      <c r="P248" s="343" t="s">
        <v>1590</v>
      </c>
      <c r="Q248" s="343" t="s">
        <v>1591</v>
      </c>
      <c r="R248" s="343" t="s">
        <v>867</v>
      </c>
      <c r="S248" s="343" t="s">
        <v>1592</v>
      </c>
      <c r="T248" s="343" t="s">
        <v>1593</v>
      </c>
      <c r="U248" s="343" t="s">
        <v>700</v>
      </c>
      <c r="V248" s="345"/>
      <c r="W248" s="345"/>
      <c r="X248" s="344"/>
    </row>
    <row r="249" spans="1:24" ht="252" x14ac:dyDescent="0.3">
      <c r="A249" s="343" t="s">
        <v>484</v>
      </c>
      <c r="B249" s="343" t="s">
        <v>1594</v>
      </c>
      <c r="C249" s="344">
        <v>0</v>
      </c>
      <c r="D249" s="344">
        <v>0</v>
      </c>
      <c r="E249" s="344">
        <v>0</v>
      </c>
      <c r="F249" s="344">
        <v>0</v>
      </c>
      <c r="G249" s="344">
        <v>0</v>
      </c>
      <c r="H249" s="344">
        <v>0</v>
      </c>
      <c r="I249" s="344">
        <v>0</v>
      </c>
      <c r="J249" s="344">
        <v>1</v>
      </c>
      <c r="K249" s="345"/>
      <c r="L249" s="343" t="s">
        <v>683</v>
      </c>
      <c r="M249" s="345"/>
      <c r="N249" s="345"/>
      <c r="O249" s="345"/>
      <c r="P249" s="343" t="s">
        <v>1595</v>
      </c>
      <c r="Q249" s="343" t="s">
        <v>1596</v>
      </c>
      <c r="R249" s="343" t="s">
        <v>867</v>
      </c>
      <c r="S249" s="343" t="s">
        <v>1597</v>
      </c>
      <c r="T249" s="343" t="s">
        <v>1598</v>
      </c>
      <c r="U249" s="343" t="s">
        <v>26</v>
      </c>
      <c r="V249" s="345"/>
      <c r="W249" s="343" t="s">
        <v>718</v>
      </c>
      <c r="X249" s="344">
        <v>10</v>
      </c>
    </row>
    <row r="250" spans="1:24" ht="154" x14ac:dyDescent="0.3">
      <c r="A250" s="356" t="s">
        <v>486</v>
      </c>
      <c r="B250" s="356" t="s">
        <v>1599</v>
      </c>
      <c r="C250" s="344">
        <v>0</v>
      </c>
      <c r="D250" s="344">
        <v>0</v>
      </c>
      <c r="E250" s="344">
        <v>0</v>
      </c>
      <c r="F250" s="344">
        <v>0</v>
      </c>
      <c r="G250" s="344">
        <v>0</v>
      </c>
      <c r="H250" s="344">
        <v>0</v>
      </c>
      <c r="I250" s="344">
        <v>0</v>
      </c>
      <c r="J250" s="344">
        <v>1</v>
      </c>
      <c r="K250" s="345"/>
      <c r="L250" s="343" t="s">
        <v>683</v>
      </c>
      <c r="M250" s="345"/>
      <c r="N250" s="345"/>
      <c r="O250" s="343" t="s">
        <v>1600</v>
      </c>
      <c r="P250" s="343" t="s">
        <v>1601</v>
      </c>
      <c r="Q250" s="343" t="s">
        <v>1602</v>
      </c>
      <c r="R250" s="343" t="s">
        <v>867</v>
      </c>
      <c r="S250" s="343" t="s">
        <v>1603</v>
      </c>
      <c r="T250" s="345"/>
      <c r="U250" s="343" t="s">
        <v>26</v>
      </c>
      <c r="V250" s="345"/>
      <c r="W250" s="343" t="s">
        <v>769</v>
      </c>
      <c r="X250" s="344">
        <v>20</v>
      </c>
    </row>
    <row r="251" spans="1:24" ht="322" x14ac:dyDescent="0.3">
      <c r="A251" s="343" t="s">
        <v>488</v>
      </c>
      <c r="B251" s="343" t="s">
        <v>1604</v>
      </c>
      <c r="C251" s="344">
        <v>0</v>
      </c>
      <c r="D251" s="344">
        <v>0</v>
      </c>
      <c r="E251" s="344">
        <v>0</v>
      </c>
      <c r="F251" s="344">
        <v>0</v>
      </c>
      <c r="G251" s="344">
        <v>0</v>
      </c>
      <c r="H251" s="344">
        <v>0</v>
      </c>
      <c r="I251" s="344">
        <v>0</v>
      </c>
      <c r="J251" s="344">
        <v>1</v>
      </c>
      <c r="K251" s="345"/>
      <c r="L251" s="343" t="s">
        <v>683</v>
      </c>
      <c r="M251" s="345"/>
      <c r="N251" s="345"/>
      <c r="O251" s="343" t="s">
        <v>1605</v>
      </c>
      <c r="P251" s="343" t="s">
        <v>1606</v>
      </c>
      <c r="Q251" s="343" t="s">
        <v>1607</v>
      </c>
      <c r="R251" s="342" t="s">
        <v>895</v>
      </c>
      <c r="S251" s="343" t="s">
        <v>1608</v>
      </c>
      <c r="T251" s="343" t="s">
        <v>1609</v>
      </c>
      <c r="U251" s="343" t="s">
        <v>26</v>
      </c>
      <c r="V251" s="345"/>
      <c r="W251" s="343" t="s">
        <v>727</v>
      </c>
      <c r="X251" s="344">
        <v>5</v>
      </c>
    </row>
    <row r="252" spans="1:24" ht="70" x14ac:dyDescent="0.3">
      <c r="A252" s="343" t="s">
        <v>490</v>
      </c>
      <c r="B252" s="343" t="s">
        <v>1610</v>
      </c>
      <c r="C252" s="344">
        <v>0</v>
      </c>
      <c r="D252" s="344">
        <v>0</v>
      </c>
      <c r="E252" s="344">
        <v>0</v>
      </c>
      <c r="F252" s="344">
        <v>0</v>
      </c>
      <c r="G252" s="344">
        <v>0</v>
      </c>
      <c r="H252" s="344">
        <v>0</v>
      </c>
      <c r="I252" s="344">
        <v>0</v>
      </c>
      <c r="J252" s="344">
        <v>1</v>
      </c>
      <c r="K252" s="343"/>
      <c r="L252" s="343" t="s">
        <v>683</v>
      </c>
      <c r="M252" s="345"/>
      <c r="N252" s="345"/>
      <c r="O252" s="343" t="s">
        <v>1611</v>
      </c>
      <c r="P252" s="343" t="s">
        <v>1261</v>
      </c>
      <c r="Q252" s="343" t="s">
        <v>1612</v>
      </c>
      <c r="R252" s="345"/>
      <c r="S252" s="343" t="s">
        <v>1613</v>
      </c>
      <c r="T252" s="343" t="s">
        <v>1614</v>
      </c>
      <c r="U252" s="343" t="s">
        <v>26</v>
      </c>
      <c r="V252" s="345"/>
      <c r="W252" s="345" t="s">
        <v>718</v>
      </c>
      <c r="X252" s="344">
        <v>10</v>
      </c>
    </row>
    <row r="253" spans="1:24" ht="70" x14ac:dyDescent="0.3">
      <c r="A253" s="343" t="s">
        <v>492</v>
      </c>
      <c r="B253" s="343" t="s">
        <v>1615</v>
      </c>
      <c r="C253" s="344">
        <v>0</v>
      </c>
      <c r="D253" s="344">
        <v>0</v>
      </c>
      <c r="E253" s="344">
        <v>0</v>
      </c>
      <c r="F253" s="344">
        <v>0</v>
      </c>
      <c r="G253" s="344">
        <v>0</v>
      </c>
      <c r="H253" s="344">
        <v>0</v>
      </c>
      <c r="I253" s="344">
        <v>0</v>
      </c>
      <c r="J253" s="344">
        <v>1</v>
      </c>
      <c r="K253" s="345"/>
      <c r="L253" s="343" t="s">
        <v>683</v>
      </c>
      <c r="M253" s="345"/>
      <c r="N253" s="345"/>
      <c r="O253" s="343" t="s">
        <v>1616</v>
      </c>
      <c r="P253" s="343" t="s">
        <v>1261</v>
      </c>
      <c r="Q253" s="343" t="s">
        <v>1617</v>
      </c>
      <c r="R253" s="345"/>
      <c r="S253" s="343" t="s">
        <v>1618</v>
      </c>
      <c r="T253" s="343" t="s">
        <v>1614</v>
      </c>
      <c r="U253" s="343" t="s">
        <v>26</v>
      </c>
      <c r="V253" s="345"/>
      <c r="W253" s="343" t="s">
        <v>727</v>
      </c>
      <c r="X253" s="344">
        <v>5</v>
      </c>
    </row>
    <row r="254" spans="1:24" ht="266" x14ac:dyDescent="0.3">
      <c r="A254" s="356" t="s">
        <v>494</v>
      </c>
      <c r="B254" s="356" t="s">
        <v>1619</v>
      </c>
      <c r="C254" s="344">
        <v>0</v>
      </c>
      <c r="D254" s="344">
        <v>0</v>
      </c>
      <c r="E254" s="344">
        <v>0</v>
      </c>
      <c r="F254" s="344">
        <v>0</v>
      </c>
      <c r="G254" s="344">
        <v>0</v>
      </c>
      <c r="H254" s="344">
        <v>0</v>
      </c>
      <c r="I254" s="344">
        <v>0</v>
      </c>
      <c r="J254" s="344">
        <v>1</v>
      </c>
      <c r="K254" s="343"/>
      <c r="L254" s="343" t="s">
        <v>683</v>
      </c>
      <c r="M254" s="345"/>
      <c r="N254" s="345"/>
      <c r="O254" s="347" t="s">
        <v>1620</v>
      </c>
      <c r="P254" s="347" t="s">
        <v>1620</v>
      </c>
      <c r="Q254" s="343" t="s">
        <v>1621</v>
      </c>
      <c r="R254" s="345"/>
      <c r="S254" s="343" t="s">
        <v>1622</v>
      </c>
      <c r="T254" s="343" t="s">
        <v>1623</v>
      </c>
      <c r="U254" s="343" t="s">
        <v>46</v>
      </c>
      <c r="V254" s="345"/>
      <c r="W254" s="343" t="s">
        <v>769</v>
      </c>
      <c r="X254" s="344">
        <v>20</v>
      </c>
    </row>
    <row r="255" spans="1:24" ht="308" x14ac:dyDescent="0.3">
      <c r="A255" s="356" t="s">
        <v>496</v>
      </c>
      <c r="B255" s="356" t="s">
        <v>1624</v>
      </c>
      <c r="C255" s="344">
        <v>0</v>
      </c>
      <c r="D255" s="344">
        <v>0</v>
      </c>
      <c r="E255" s="344">
        <v>0</v>
      </c>
      <c r="F255" s="344">
        <v>0</v>
      </c>
      <c r="G255" s="344">
        <v>0</v>
      </c>
      <c r="H255" s="344">
        <v>0</v>
      </c>
      <c r="I255" s="344">
        <v>0</v>
      </c>
      <c r="J255" s="344">
        <v>1</v>
      </c>
      <c r="K255" s="343"/>
      <c r="L255" s="343" t="s">
        <v>683</v>
      </c>
      <c r="M255" s="345"/>
      <c r="N255" s="345"/>
      <c r="O255" s="347" t="s">
        <v>1625</v>
      </c>
      <c r="P255" s="347" t="s">
        <v>1625</v>
      </c>
      <c r="Q255" s="343" t="s">
        <v>1626</v>
      </c>
      <c r="R255" s="345"/>
      <c r="S255" s="343" t="s">
        <v>1622</v>
      </c>
      <c r="T255" s="343" t="s">
        <v>1623</v>
      </c>
      <c r="U255" s="343" t="s">
        <v>46</v>
      </c>
      <c r="V255" s="345"/>
      <c r="W255" s="343" t="s">
        <v>769</v>
      </c>
      <c r="X255" s="344">
        <v>20</v>
      </c>
    </row>
    <row r="256" spans="1:24" ht="210" x14ac:dyDescent="0.3">
      <c r="A256" s="356" t="s">
        <v>497</v>
      </c>
      <c r="B256" s="356" t="s">
        <v>1627</v>
      </c>
      <c r="C256" s="344">
        <v>0</v>
      </c>
      <c r="D256" s="344">
        <v>0</v>
      </c>
      <c r="E256" s="344">
        <v>0</v>
      </c>
      <c r="F256" s="344">
        <v>0</v>
      </c>
      <c r="G256" s="344">
        <v>0</v>
      </c>
      <c r="H256" s="344">
        <v>0</v>
      </c>
      <c r="I256" s="344">
        <v>0</v>
      </c>
      <c r="J256" s="344">
        <v>1</v>
      </c>
      <c r="K256" s="343"/>
      <c r="L256" s="343" t="s">
        <v>683</v>
      </c>
      <c r="M256" s="345"/>
      <c r="N256" s="345"/>
      <c r="O256" s="347" t="s">
        <v>1628</v>
      </c>
      <c r="P256" s="347" t="s">
        <v>1628</v>
      </c>
      <c r="Q256" s="343" t="s">
        <v>1629</v>
      </c>
      <c r="R256" s="345"/>
      <c r="S256" s="345" t="s">
        <v>1630</v>
      </c>
      <c r="T256" s="345" t="s">
        <v>1631</v>
      </c>
      <c r="U256" s="343" t="s">
        <v>46</v>
      </c>
      <c r="V256" s="345"/>
      <c r="W256" s="343" t="s">
        <v>769</v>
      </c>
      <c r="X256" s="344">
        <v>20</v>
      </c>
    </row>
    <row r="257" spans="1:24" ht="154" x14ac:dyDescent="0.3">
      <c r="A257" s="343" t="s">
        <v>499</v>
      </c>
      <c r="B257" s="343" t="s">
        <v>1632</v>
      </c>
      <c r="C257" s="344">
        <v>0</v>
      </c>
      <c r="D257" s="344">
        <v>0</v>
      </c>
      <c r="E257" s="344">
        <v>0</v>
      </c>
      <c r="F257" s="344">
        <v>0</v>
      </c>
      <c r="G257" s="344">
        <v>0</v>
      </c>
      <c r="H257" s="344">
        <v>0</v>
      </c>
      <c r="I257" s="344">
        <v>0</v>
      </c>
      <c r="J257" s="344">
        <v>1</v>
      </c>
      <c r="K257" s="345"/>
      <c r="L257" s="343" t="s">
        <v>683</v>
      </c>
      <c r="M257" s="345"/>
      <c r="N257" s="345"/>
      <c r="O257" s="347" t="s">
        <v>1633</v>
      </c>
      <c r="P257" s="347" t="s">
        <v>1633</v>
      </c>
      <c r="Q257" s="347" t="s">
        <v>1634</v>
      </c>
      <c r="R257" s="345"/>
      <c r="S257" s="345" t="s">
        <v>1635</v>
      </c>
      <c r="T257" s="345" t="s">
        <v>1636</v>
      </c>
      <c r="U257" s="343" t="s">
        <v>46</v>
      </c>
      <c r="V257" s="345"/>
      <c r="W257" s="343" t="s">
        <v>727</v>
      </c>
      <c r="X257" s="344">
        <v>5</v>
      </c>
    </row>
    <row r="258" spans="1:24" ht="112" x14ac:dyDescent="0.3">
      <c r="A258" s="343" t="s">
        <v>501</v>
      </c>
      <c r="B258" s="343" t="s">
        <v>1637</v>
      </c>
      <c r="C258" s="344">
        <v>0</v>
      </c>
      <c r="D258" s="344">
        <v>0</v>
      </c>
      <c r="E258" s="344">
        <v>0</v>
      </c>
      <c r="F258" s="344">
        <v>0</v>
      </c>
      <c r="G258" s="344">
        <v>0</v>
      </c>
      <c r="H258" s="344">
        <v>0</v>
      </c>
      <c r="I258" s="344">
        <v>0</v>
      </c>
      <c r="J258" s="344">
        <v>1</v>
      </c>
      <c r="K258" s="345"/>
      <c r="L258" s="343" t="s">
        <v>683</v>
      </c>
      <c r="M258" s="345"/>
      <c r="N258" s="345"/>
      <c r="O258" s="347" t="s">
        <v>1638</v>
      </c>
      <c r="P258" s="347" t="s">
        <v>1638</v>
      </c>
      <c r="Q258" s="343" t="s">
        <v>1639</v>
      </c>
      <c r="R258" s="345"/>
      <c r="S258" s="343" t="s">
        <v>1640</v>
      </c>
      <c r="T258" s="345"/>
      <c r="U258" s="343" t="s">
        <v>46</v>
      </c>
      <c r="V258" s="345"/>
      <c r="W258" s="343" t="s">
        <v>727</v>
      </c>
      <c r="X258" s="344">
        <v>5</v>
      </c>
    </row>
    <row r="259" spans="1:24" ht="56" x14ac:dyDescent="0.3">
      <c r="A259" s="343" t="s">
        <v>503</v>
      </c>
      <c r="B259" s="343" t="s">
        <v>1641</v>
      </c>
      <c r="C259" s="344">
        <v>0</v>
      </c>
      <c r="D259" s="344">
        <v>0</v>
      </c>
      <c r="E259" s="344">
        <v>0</v>
      </c>
      <c r="F259" s="344">
        <v>0</v>
      </c>
      <c r="G259" s="344">
        <v>0</v>
      </c>
      <c r="H259" s="344">
        <v>0</v>
      </c>
      <c r="I259" s="344">
        <v>0</v>
      </c>
      <c r="J259" s="344">
        <v>1</v>
      </c>
      <c r="K259" s="345"/>
      <c r="L259" s="343" t="s">
        <v>683</v>
      </c>
      <c r="M259" s="345"/>
      <c r="N259" s="345"/>
      <c r="O259" s="347" t="s">
        <v>1642</v>
      </c>
      <c r="P259" s="347" t="s">
        <v>1642</v>
      </c>
      <c r="Q259" s="343" t="s">
        <v>1643</v>
      </c>
      <c r="R259" s="345"/>
      <c r="S259" s="347" t="s">
        <v>1642</v>
      </c>
      <c r="T259" s="345"/>
      <c r="U259" s="343" t="s">
        <v>46</v>
      </c>
      <c r="V259" s="345"/>
      <c r="W259" s="343" t="s">
        <v>727</v>
      </c>
      <c r="X259" s="344">
        <v>5</v>
      </c>
    </row>
    <row r="260" spans="1:24" ht="70" x14ac:dyDescent="0.3">
      <c r="A260" s="343" t="s">
        <v>505</v>
      </c>
      <c r="B260" s="343" t="s">
        <v>1644</v>
      </c>
      <c r="C260" s="344">
        <v>0</v>
      </c>
      <c r="D260" s="344">
        <v>0</v>
      </c>
      <c r="E260" s="344">
        <v>0</v>
      </c>
      <c r="F260" s="344">
        <v>0</v>
      </c>
      <c r="G260" s="344">
        <v>0</v>
      </c>
      <c r="H260" s="344">
        <v>0</v>
      </c>
      <c r="I260" s="344">
        <v>0</v>
      </c>
      <c r="J260" s="344">
        <v>1</v>
      </c>
      <c r="K260" s="345"/>
      <c r="L260" s="343" t="s">
        <v>683</v>
      </c>
      <c r="M260" s="345"/>
      <c r="N260" s="345"/>
      <c r="O260" s="347" t="s">
        <v>1645</v>
      </c>
      <c r="P260" s="347" t="s">
        <v>1645</v>
      </c>
      <c r="Q260" s="343" t="s">
        <v>1646</v>
      </c>
      <c r="R260" s="345"/>
      <c r="S260" s="343" t="s">
        <v>1647</v>
      </c>
      <c r="T260" s="345"/>
      <c r="U260" s="343" t="s">
        <v>46</v>
      </c>
      <c r="V260" s="345"/>
      <c r="W260" s="343" t="s">
        <v>727</v>
      </c>
      <c r="X260" s="344">
        <v>5</v>
      </c>
    </row>
    <row r="261" spans="1:24" ht="70" x14ac:dyDescent="0.25">
      <c r="A261" s="343" t="s">
        <v>507</v>
      </c>
      <c r="B261" s="343" t="s">
        <v>1648</v>
      </c>
      <c r="C261" s="344">
        <v>0</v>
      </c>
      <c r="D261" s="344">
        <v>0</v>
      </c>
      <c r="E261" s="344">
        <v>0</v>
      </c>
      <c r="F261" s="344">
        <v>0</v>
      </c>
      <c r="G261" s="344">
        <v>0</v>
      </c>
      <c r="H261" s="344">
        <v>0</v>
      </c>
      <c r="I261" s="344">
        <v>0</v>
      </c>
      <c r="J261" s="344">
        <v>1</v>
      </c>
      <c r="K261" s="343"/>
      <c r="L261" s="343" t="s">
        <v>700</v>
      </c>
      <c r="M261" s="345"/>
      <c r="N261" s="345"/>
      <c r="O261" s="348"/>
      <c r="P261" s="343" t="s">
        <v>1649</v>
      </c>
      <c r="Q261" s="345"/>
      <c r="R261" s="345"/>
      <c r="S261" s="343" t="s">
        <v>1650</v>
      </c>
      <c r="T261" s="345"/>
      <c r="U261" s="343" t="s">
        <v>700</v>
      </c>
      <c r="V261" s="345"/>
      <c r="W261" s="343"/>
      <c r="X261" s="344"/>
    </row>
    <row r="262" spans="1:24" ht="168" x14ac:dyDescent="0.3">
      <c r="A262" s="343" t="s">
        <v>509</v>
      </c>
      <c r="B262" s="343" t="s">
        <v>1651</v>
      </c>
      <c r="C262" s="344">
        <v>0</v>
      </c>
      <c r="D262" s="344">
        <v>0</v>
      </c>
      <c r="E262" s="344">
        <v>0</v>
      </c>
      <c r="F262" s="344">
        <v>0</v>
      </c>
      <c r="G262" s="344">
        <v>0</v>
      </c>
      <c r="H262" s="344">
        <v>0</v>
      </c>
      <c r="I262" s="344">
        <v>0</v>
      </c>
      <c r="J262" s="344">
        <v>1</v>
      </c>
      <c r="K262" s="345"/>
      <c r="L262" s="343" t="s">
        <v>683</v>
      </c>
      <c r="M262" s="345"/>
      <c r="N262" s="345"/>
      <c r="O262" s="348"/>
      <c r="P262" s="343" t="s">
        <v>1652</v>
      </c>
      <c r="Q262" s="343" t="s">
        <v>1653</v>
      </c>
      <c r="R262" s="345"/>
      <c r="S262" s="343" t="s">
        <v>1654</v>
      </c>
      <c r="T262" s="349" t="s">
        <v>1655</v>
      </c>
      <c r="U262" s="343" t="s">
        <v>26</v>
      </c>
      <c r="V262" s="345"/>
      <c r="W262" s="343" t="s">
        <v>727</v>
      </c>
      <c r="X262" s="344">
        <v>5</v>
      </c>
    </row>
    <row r="263" spans="1:24" ht="182" x14ac:dyDescent="0.3">
      <c r="A263" s="343" t="s">
        <v>511</v>
      </c>
      <c r="B263" s="343" t="s">
        <v>1656</v>
      </c>
      <c r="C263" s="344">
        <v>0</v>
      </c>
      <c r="D263" s="344">
        <v>0</v>
      </c>
      <c r="E263" s="344">
        <v>0</v>
      </c>
      <c r="F263" s="344">
        <v>0</v>
      </c>
      <c r="G263" s="344">
        <v>0</v>
      </c>
      <c r="H263" s="344">
        <v>0</v>
      </c>
      <c r="I263" s="344">
        <v>0</v>
      </c>
      <c r="J263" s="344">
        <v>1</v>
      </c>
      <c r="K263" s="345"/>
      <c r="L263" s="343" t="s">
        <v>683</v>
      </c>
      <c r="M263" s="345"/>
      <c r="N263" s="345"/>
      <c r="O263" s="343" t="s">
        <v>1657</v>
      </c>
      <c r="P263" s="343" t="s">
        <v>1658</v>
      </c>
      <c r="Q263" s="343" t="s">
        <v>1659</v>
      </c>
      <c r="R263" s="345"/>
      <c r="S263" s="343" t="s">
        <v>1660</v>
      </c>
      <c r="T263" s="345"/>
      <c r="U263" s="343" t="s">
        <v>26</v>
      </c>
      <c r="V263" s="345"/>
      <c r="W263" s="343" t="s">
        <v>727</v>
      </c>
      <c r="X263" s="344">
        <v>5</v>
      </c>
    </row>
    <row r="264" spans="1:24" ht="98" x14ac:dyDescent="0.3">
      <c r="A264" s="343" t="s">
        <v>513</v>
      </c>
      <c r="B264" s="343" t="s">
        <v>1385</v>
      </c>
      <c r="C264" s="344">
        <v>0</v>
      </c>
      <c r="D264" s="344">
        <v>0</v>
      </c>
      <c r="E264" s="344">
        <v>0</v>
      </c>
      <c r="F264" s="344">
        <v>0</v>
      </c>
      <c r="G264" s="344">
        <v>0</v>
      </c>
      <c r="H264" s="344">
        <v>0</v>
      </c>
      <c r="I264" s="344">
        <v>0</v>
      </c>
      <c r="J264" s="344">
        <v>1</v>
      </c>
      <c r="K264" s="345"/>
      <c r="L264" s="343" t="s">
        <v>683</v>
      </c>
      <c r="M264" s="345"/>
      <c r="N264" s="345"/>
      <c r="O264" s="345"/>
      <c r="P264" s="343" t="s">
        <v>1661</v>
      </c>
      <c r="Q264" s="343" t="s">
        <v>1662</v>
      </c>
      <c r="R264" s="345"/>
      <c r="S264" s="343" t="s">
        <v>1663</v>
      </c>
      <c r="T264" s="343" t="s">
        <v>1664</v>
      </c>
      <c r="U264" s="343" t="s">
        <v>26</v>
      </c>
      <c r="V264" s="345"/>
      <c r="W264" s="343" t="s">
        <v>718</v>
      </c>
      <c r="X264" s="344">
        <v>10</v>
      </c>
    </row>
    <row r="265" spans="1:24" ht="98" x14ac:dyDescent="0.3">
      <c r="A265" s="343" t="s">
        <v>514</v>
      </c>
      <c r="B265" s="343" t="s">
        <v>1665</v>
      </c>
      <c r="C265" s="344">
        <v>0</v>
      </c>
      <c r="D265" s="344">
        <v>0</v>
      </c>
      <c r="E265" s="344">
        <v>0</v>
      </c>
      <c r="F265" s="344">
        <v>0</v>
      </c>
      <c r="G265" s="344">
        <v>0</v>
      </c>
      <c r="H265" s="344">
        <v>0</v>
      </c>
      <c r="I265" s="344">
        <v>0</v>
      </c>
      <c r="J265" s="344">
        <v>1</v>
      </c>
      <c r="K265" s="345"/>
      <c r="L265" s="343" t="s">
        <v>683</v>
      </c>
      <c r="M265" s="345"/>
      <c r="N265" s="345"/>
      <c r="O265" s="343" t="s">
        <v>1666</v>
      </c>
      <c r="P265" s="343" t="s">
        <v>1667</v>
      </c>
      <c r="Q265" s="345"/>
      <c r="R265" s="345"/>
      <c r="S265" s="343" t="s">
        <v>1668</v>
      </c>
      <c r="T265" s="343" t="s">
        <v>1669</v>
      </c>
      <c r="U265" s="343" t="s">
        <v>26</v>
      </c>
      <c r="V265" s="345"/>
      <c r="W265" s="343" t="s">
        <v>727</v>
      </c>
      <c r="X265" s="344">
        <v>5</v>
      </c>
    </row>
    <row r="266" spans="1:24" ht="98" x14ac:dyDescent="0.3">
      <c r="A266" s="343" t="s">
        <v>516</v>
      </c>
      <c r="B266" s="343" t="s">
        <v>1670</v>
      </c>
      <c r="C266" s="344">
        <v>0</v>
      </c>
      <c r="D266" s="344">
        <v>0</v>
      </c>
      <c r="E266" s="344">
        <v>0</v>
      </c>
      <c r="F266" s="344">
        <v>0</v>
      </c>
      <c r="G266" s="344">
        <v>0</v>
      </c>
      <c r="H266" s="344">
        <v>0</v>
      </c>
      <c r="I266" s="344">
        <v>0</v>
      </c>
      <c r="J266" s="344">
        <v>1</v>
      </c>
      <c r="K266" s="345"/>
      <c r="L266" s="343" t="s">
        <v>683</v>
      </c>
      <c r="M266" s="345"/>
      <c r="N266" s="345"/>
      <c r="O266" s="343" t="s">
        <v>1671</v>
      </c>
      <c r="P266" s="343" t="s">
        <v>1672</v>
      </c>
      <c r="Q266" s="345"/>
      <c r="R266" s="345"/>
      <c r="S266" s="343" t="s">
        <v>1673</v>
      </c>
      <c r="T266" s="343" t="s">
        <v>1674</v>
      </c>
      <c r="U266" s="343" t="s">
        <v>26</v>
      </c>
      <c r="V266" s="345"/>
      <c r="W266" s="343" t="s">
        <v>727</v>
      </c>
      <c r="X266" s="344">
        <v>5</v>
      </c>
    </row>
    <row r="267" spans="1:24" ht="210" x14ac:dyDescent="0.3">
      <c r="A267" s="356" t="s">
        <v>518</v>
      </c>
      <c r="B267" s="356" t="s">
        <v>1675</v>
      </c>
      <c r="C267" s="344">
        <v>0</v>
      </c>
      <c r="D267" s="344">
        <v>0</v>
      </c>
      <c r="E267" s="344">
        <v>0</v>
      </c>
      <c r="F267" s="344">
        <v>0</v>
      </c>
      <c r="G267" s="344">
        <v>0</v>
      </c>
      <c r="H267" s="344">
        <v>0</v>
      </c>
      <c r="I267" s="344">
        <v>0</v>
      </c>
      <c r="J267" s="344">
        <v>1</v>
      </c>
      <c r="K267" s="345"/>
      <c r="L267" s="343" t="s">
        <v>683</v>
      </c>
      <c r="M267" s="345"/>
      <c r="N267" s="345"/>
      <c r="O267" s="343" t="s">
        <v>1676</v>
      </c>
      <c r="P267" s="343" t="s">
        <v>1677</v>
      </c>
      <c r="Q267" s="343" t="s">
        <v>1678</v>
      </c>
      <c r="R267" s="345"/>
      <c r="S267" s="343" t="s">
        <v>1679</v>
      </c>
      <c r="T267" s="345"/>
      <c r="U267" s="343" t="s">
        <v>26</v>
      </c>
      <c r="V267" s="345"/>
      <c r="W267" s="343" t="s">
        <v>769</v>
      </c>
      <c r="X267" s="344">
        <v>20</v>
      </c>
    </row>
    <row r="268" spans="1:24" ht="98" x14ac:dyDescent="0.3">
      <c r="A268" s="343" t="s">
        <v>520</v>
      </c>
      <c r="B268" s="343" t="s">
        <v>1680</v>
      </c>
      <c r="C268" s="344">
        <v>0</v>
      </c>
      <c r="D268" s="344">
        <v>0</v>
      </c>
      <c r="E268" s="344">
        <v>0</v>
      </c>
      <c r="F268" s="344">
        <v>0</v>
      </c>
      <c r="G268" s="344">
        <v>0</v>
      </c>
      <c r="H268" s="344">
        <v>0</v>
      </c>
      <c r="I268" s="344">
        <v>0</v>
      </c>
      <c r="J268" s="344">
        <v>1</v>
      </c>
      <c r="K268" s="345"/>
      <c r="L268" s="343" t="s">
        <v>683</v>
      </c>
      <c r="M268" s="345"/>
      <c r="N268" s="345"/>
      <c r="O268" s="345"/>
      <c r="P268" s="343" t="s">
        <v>1681</v>
      </c>
      <c r="Q268" s="343" t="s">
        <v>1682</v>
      </c>
      <c r="R268" s="345"/>
      <c r="S268" s="343" t="s">
        <v>1683</v>
      </c>
      <c r="T268" s="343" t="s">
        <v>1684</v>
      </c>
      <c r="U268" s="343" t="s">
        <v>26</v>
      </c>
      <c r="V268" s="345"/>
      <c r="W268" s="343" t="s">
        <v>727</v>
      </c>
      <c r="X268" s="344">
        <v>5</v>
      </c>
    </row>
    <row r="269" spans="1:24" ht="168" x14ac:dyDescent="0.3">
      <c r="A269" s="343" t="s">
        <v>522</v>
      </c>
      <c r="B269" s="343" t="s">
        <v>1685</v>
      </c>
      <c r="C269" s="344">
        <v>0</v>
      </c>
      <c r="D269" s="344">
        <v>0</v>
      </c>
      <c r="E269" s="344">
        <v>0</v>
      </c>
      <c r="F269" s="344">
        <v>0</v>
      </c>
      <c r="G269" s="344">
        <v>0</v>
      </c>
      <c r="H269" s="344">
        <v>0</v>
      </c>
      <c r="I269" s="344">
        <v>0</v>
      </c>
      <c r="J269" s="344">
        <v>1</v>
      </c>
      <c r="K269" s="345"/>
      <c r="L269" s="343" t="s">
        <v>683</v>
      </c>
      <c r="M269" s="345"/>
      <c r="N269" s="345"/>
      <c r="O269" s="345"/>
      <c r="P269" s="343" t="s">
        <v>1686</v>
      </c>
      <c r="Q269" s="343" t="s">
        <v>1678</v>
      </c>
      <c r="R269" s="342" t="s">
        <v>895</v>
      </c>
      <c r="S269" s="343" t="s">
        <v>1687</v>
      </c>
      <c r="T269" s="343" t="s">
        <v>1688</v>
      </c>
      <c r="U269" s="343" t="s">
        <v>26</v>
      </c>
      <c r="V269" s="345"/>
      <c r="W269" s="343" t="s">
        <v>727</v>
      </c>
      <c r="X269" s="344">
        <v>5</v>
      </c>
    </row>
    <row r="270" spans="1:24" ht="196" x14ac:dyDescent="0.3">
      <c r="A270" s="343" t="s">
        <v>524</v>
      </c>
      <c r="B270" s="343" t="s">
        <v>1689</v>
      </c>
      <c r="C270" s="344">
        <v>0</v>
      </c>
      <c r="D270" s="344">
        <v>0</v>
      </c>
      <c r="E270" s="344">
        <v>0</v>
      </c>
      <c r="F270" s="344">
        <v>0</v>
      </c>
      <c r="G270" s="344">
        <v>0</v>
      </c>
      <c r="H270" s="344">
        <v>0</v>
      </c>
      <c r="I270" s="344">
        <v>0</v>
      </c>
      <c r="J270" s="344">
        <v>1</v>
      </c>
      <c r="K270" s="345"/>
      <c r="L270" s="343" t="s">
        <v>683</v>
      </c>
      <c r="M270" s="345"/>
      <c r="N270" s="345"/>
      <c r="O270" s="343" t="s">
        <v>1690</v>
      </c>
      <c r="P270" s="343" t="s">
        <v>1690</v>
      </c>
      <c r="Q270" s="343" t="s">
        <v>1691</v>
      </c>
      <c r="R270" s="345"/>
      <c r="S270" s="343" t="s">
        <v>1692</v>
      </c>
      <c r="T270" s="343" t="s">
        <v>1693</v>
      </c>
      <c r="U270" s="343" t="s">
        <v>46</v>
      </c>
      <c r="V270" s="345"/>
      <c r="W270" s="343" t="s">
        <v>727</v>
      </c>
      <c r="X270" s="344">
        <v>5</v>
      </c>
    </row>
    <row r="271" spans="1:24" ht="182" x14ac:dyDescent="0.25">
      <c r="A271" s="343" t="s">
        <v>526</v>
      </c>
      <c r="B271" s="343" t="s">
        <v>1694</v>
      </c>
      <c r="C271" s="344">
        <v>0</v>
      </c>
      <c r="D271" s="344">
        <v>0</v>
      </c>
      <c r="E271" s="344">
        <v>0</v>
      </c>
      <c r="F271" s="344">
        <v>0</v>
      </c>
      <c r="G271" s="344">
        <v>0</v>
      </c>
      <c r="H271" s="344">
        <v>0</v>
      </c>
      <c r="I271" s="344">
        <v>0</v>
      </c>
      <c r="J271" s="344">
        <v>1</v>
      </c>
      <c r="K271" s="345"/>
      <c r="L271" s="343" t="s">
        <v>683</v>
      </c>
      <c r="M271" s="345"/>
      <c r="N271" s="345"/>
      <c r="O271" s="345"/>
      <c r="P271" s="343" t="s">
        <v>1695</v>
      </c>
      <c r="Q271" s="343" t="s">
        <v>1696</v>
      </c>
      <c r="R271" s="343" t="s">
        <v>867</v>
      </c>
      <c r="S271" s="343" t="s">
        <v>1697</v>
      </c>
      <c r="T271" s="348"/>
      <c r="U271" s="343" t="s">
        <v>26</v>
      </c>
      <c r="V271" s="345"/>
      <c r="W271" s="343" t="s">
        <v>727</v>
      </c>
      <c r="X271" s="344">
        <v>5</v>
      </c>
    </row>
    <row r="272" spans="1:24" ht="126" x14ac:dyDescent="0.25">
      <c r="A272" s="343" t="s">
        <v>528</v>
      </c>
      <c r="B272" s="343" t="s">
        <v>1698</v>
      </c>
      <c r="C272" s="344">
        <v>0</v>
      </c>
      <c r="D272" s="344">
        <v>0</v>
      </c>
      <c r="E272" s="344">
        <v>0</v>
      </c>
      <c r="F272" s="344">
        <v>0</v>
      </c>
      <c r="G272" s="344">
        <v>0</v>
      </c>
      <c r="H272" s="344">
        <v>0</v>
      </c>
      <c r="I272" s="344">
        <v>0</v>
      </c>
      <c r="J272" s="344">
        <v>1</v>
      </c>
      <c r="K272" s="345"/>
      <c r="L272" s="343" t="s">
        <v>683</v>
      </c>
      <c r="M272" s="345"/>
      <c r="N272" s="345"/>
      <c r="O272" s="348"/>
      <c r="P272" s="343" t="s">
        <v>1699</v>
      </c>
      <c r="Q272" s="343" t="s">
        <v>1700</v>
      </c>
      <c r="R272" s="345"/>
      <c r="S272" s="343" t="s">
        <v>1701</v>
      </c>
      <c r="T272" s="345"/>
      <c r="U272" s="343" t="s">
        <v>26</v>
      </c>
      <c r="V272" s="345"/>
      <c r="W272" s="343" t="s">
        <v>727</v>
      </c>
      <c r="X272" s="344">
        <v>5</v>
      </c>
    </row>
    <row r="273" spans="1:24" ht="87.5" x14ac:dyDescent="0.3">
      <c r="A273" s="356" t="s">
        <v>530</v>
      </c>
      <c r="B273" s="356" t="s">
        <v>1702</v>
      </c>
      <c r="C273" s="344">
        <v>0</v>
      </c>
      <c r="D273" s="344">
        <v>0</v>
      </c>
      <c r="E273" s="344">
        <v>0</v>
      </c>
      <c r="F273" s="344">
        <v>0</v>
      </c>
      <c r="G273" s="344">
        <v>0</v>
      </c>
      <c r="H273" s="344">
        <v>0</v>
      </c>
      <c r="I273" s="344">
        <v>0</v>
      </c>
      <c r="J273" s="344">
        <v>1</v>
      </c>
      <c r="K273" s="345"/>
      <c r="L273" s="343" t="s">
        <v>683</v>
      </c>
      <c r="M273" s="345"/>
      <c r="N273" s="345"/>
      <c r="O273" s="345"/>
      <c r="P273" s="343" t="s">
        <v>1703</v>
      </c>
      <c r="Q273" s="343" t="s">
        <v>1704</v>
      </c>
      <c r="R273" s="345"/>
      <c r="S273" s="345" t="s">
        <v>1705</v>
      </c>
      <c r="T273" s="345" t="s">
        <v>1706</v>
      </c>
      <c r="U273" s="343" t="s">
        <v>46</v>
      </c>
      <c r="V273" s="345"/>
      <c r="W273" s="343" t="s">
        <v>769</v>
      </c>
      <c r="X273" s="344">
        <v>20</v>
      </c>
    </row>
    <row r="274" spans="1:24" ht="98" x14ac:dyDescent="0.3">
      <c r="A274" s="343" t="s">
        <v>532</v>
      </c>
      <c r="B274" s="343" t="s">
        <v>1707</v>
      </c>
      <c r="C274" s="344">
        <v>0</v>
      </c>
      <c r="D274" s="344">
        <v>0</v>
      </c>
      <c r="E274" s="344">
        <v>0</v>
      </c>
      <c r="F274" s="344">
        <v>0</v>
      </c>
      <c r="G274" s="344">
        <v>0</v>
      </c>
      <c r="H274" s="344">
        <v>0</v>
      </c>
      <c r="I274" s="344">
        <v>0</v>
      </c>
      <c r="J274" s="344">
        <v>1</v>
      </c>
      <c r="K274" s="345"/>
      <c r="L274" s="343" t="s">
        <v>683</v>
      </c>
      <c r="M274" s="345"/>
      <c r="N274" s="345"/>
      <c r="O274" s="343" t="s">
        <v>1708</v>
      </c>
      <c r="P274" s="343" t="s">
        <v>1709</v>
      </c>
      <c r="Q274" s="343" t="s">
        <v>1710</v>
      </c>
      <c r="R274" s="345"/>
      <c r="S274" s="343" t="s">
        <v>1711</v>
      </c>
      <c r="T274" s="345"/>
      <c r="U274" s="343" t="s">
        <v>26</v>
      </c>
      <c r="V274" s="345"/>
      <c r="W274" s="343" t="s">
        <v>727</v>
      </c>
      <c r="X274" s="344">
        <v>5</v>
      </c>
    </row>
    <row r="275" spans="1:24" ht="98" x14ac:dyDescent="0.3">
      <c r="A275" s="343" t="s">
        <v>534</v>
      </c>
      <c r="B275" s="343" t="s">
        <v>1712</v>
      </c>
      <c r="C275" s="344">
        <v>0</v>
      </c>
      <c r="D275" s="344">
        <v>0</v>
      </c>
      <c r="E275" s="344">
        <v>0</v>
      </c>
      <c r="F275" s="344">
        <v>0</v>
      </c>
      <c r="G275" s="344">
        <v>0</v>
      </c>
      <c r="H275" s="344">
        <v>0</v>
      </c>
      <c r="I275" s="344">
        <v>0</v>
      </c>
      <c r="J275" s="344">
        <v>1</v>
      </c>
      <c r="K275" s="343"/>
      <c r="L275" s="343" t="s">
        <v>683</v>
      </c>
      <c r="M275" s="345"/>
      <c r="N275" s="345"/>
      <c r="O275" s="343" t="s">
        <v>1713</v>
      </c>
      <c r="P275" s="345"/>
      <c r="Q275" s="343" t="s">
        <v>1714</v>
      </c>
      <c r="R275" s="345"/>
      <c r="S275" s="343" t="s">
        <v>1715</v>
      </c>
      <c r="T275" s="343" t="s">
        <v>1716</v>
      </c>
      <c r="U275" s="343" t="s">
        <v>46</v>
      </c>
      <c r="V275" s="345"/>
      <c r="W275" s="343" t="s">
        <v>718</v>
      </c>
      <c r="X275" s="344">
        <v>10</v>
      </c>
    </row>
    <row r="276" spans="1:24" ht="56" x14ac:dyDescent="0.3">
      <c r="A276" s="343" t="s">
        <v>536</v>
      </c>
      <c r="B276" s="343" t="s">
        <v>1717</v>
      </c>
      <c r="C276" s="344">
        <v>0</v>
      </c>
      <c r="D276" s="344">
        <v>0</v>
      </c>
      <c r="E276" s="344">
        <v>0</v>
      </c>
      <c r="F276" s="344">
        <v>0</v>
      </c>
      <c r="G276" s="344">
        <v>0</v>
      </c>
      <c r="H276" s="344">
        <v>0</v>
      </c>
      <c r="I276" s="344">
        <v>0</v>
      </c>
      <c r="J276" s="344">
        <v>1</v>
      </c>
      <c r="K276" s="343"/>
      <c r="L276" s="343" t="s">
        <v>683</v>
      </c>
      <c r="M276" s="345"/>
      <c r="N276" s="345"/>
      <c r="O276" s="343" t="s">
        <v>1718</v>
      </c>
      <c r="P276" s="343" t="s">
        <v>1709</v>
      </c>
      <c r="Q276" s="343" t="s">
        <v>1719</v>
      </c>
      <c r="R276" s="345"/>
      <c r="S276" s="343" t="s">
        <v>1720</v>
      </c>
      <c r="T276" s="345"/>
      <c r="U276" s="343" t="s">
        <v>26</v>
      </c>
      <c r="V276" s="345"/>
      <c r="W276" s="343" t="s">
        <v>718</v>
      </c>
      <c r="X276" s="344">
        <v>10</v>
      </c>
    </row>
    <row r="277" spans="1:24" ht="56" x14ac:dyDescent="0.3">
      <c r="A277" s="343" t="s">
        <v>538</v>
      </c>
      <c r="B277" s="343" t="s">
        <v>1721</v>
      </c>
      <c r="C277" s="344">
        <v>0</v>
      </c>
      <c r="D277" s="344">
        <v>0</v>
      </c>
      <c r="E277" s="344">
        <v>0</v>
      </c>
      <c r="F277" s="344">
        <v>0</v>
      </c>
      <c r="G277" s="344">
        <v>0</v>
      </c>
      <c r="H277" s="344">
        <v>0</v>
      </c>
      <c r="I277" s="344">
        <v>0</v>
      </c>
      <c r="J277" s="344">
        <v>1</v>
      </c>
      <c r="K277" s="343"/>
      <c r="L277" s="343" t="s">
        <v>683</v>
      </c>
      <c r="M277" s="345"/>
      <c r="N277" s="345"/>
      <c r="O277" s="343" t="s">
        <v>1722</v>
      </c>
      <c r="P277" s="343" t="s">
        <v>1709</v>
      </c>
      <c r="Q277" s="345"/>
      <c r="R277" s="345"/>
      <c r="S277" s="343" t="s">
        <v>1723</v>
      </c>
      <c r="T277" s="345"/>
      <c r="U277" s="343" t="s">
        <v>26</v>
      </c>
      <c r="V277" s="345"/>
      <c r="W277" s="343" t="s">
        <v>718</v>
      </c>
      <c r="X277" s="344">
        <v>10</v>
      </c>
    </row>
    <row r="278" spans="1:24" ht="98" x14ac:dyDescent="0.3">
      <c r="A278" s="343" t="s">
        <v>540</v>
      </c>
      <c r="B278" s="343" t="s">
        <v>1724</v>
      </c>
      <c r="C278" s="344">
        <v>0</v>
      </c>
      <c r="D278" s="344">
        <v>0</v>
      </c>
      <c r="E278" s="344">
        <v>0</v>
      </c>
      <c r="F278" s="344">
        <v>0</v>
      </c>
      <c r="G278" s="344">
        <v>0</v>
      </c>
      <c r="H278" s="344">
        <v>0</v>
      </c>
      <c r="I278" s="344">
        <v>0</v>
      </c>
      <c r="J278" s="344">
        <v>1</v>
      </c>
      <c r="K278" s="343"/>
      <c r="L278" s="343" t="s">
        <v>683</v>
      </c>
      <c r="M278" s="345"/>
      <c r="N278" s="345"/>
      <c r="O278" s="343" t="s">
        <v>1725</v>
      </c>
      <c r="P278" s="343" t="s">
        <v>1725</v>
      </c>
      <c r="Q278" s="343" t="s">
        <v>1726</v>
      </c>
      <c r="R278" s="345"/>
      <c r="S278" s="343" t="s">
        <v>1727</v>
      </c>
      <c r="T278" s="343" t="s">
        <v>1728</v>
      </c>
      <c r="U278" s="343" t="s">
        <v>46</v>
      </c>
      <c r="V278" s="345"/>
      <c r="W278" s="343" t="s">
        <v>718</v>
      </c>
      <c r="X278" s="344">
        <v>10</v>
      </c>
    </row>
    <row r="279" spans="1:24" ht="56" x14ac:dyDescent="0.3">
      <c r="A279" s="343" t="s">
        <v>542</v>
      </c>
      <c r="B279" s="343" t="s">
        <v>1729</v>
      </c>
      <c r="C279" s="344">
        <v>0</v>
      </c>
      <c r="D279" s="344">
        <v>0</v>
      </c>
      <c r="E279" s="344">
        <v>0</v>
      </c>
      <c r="F279" s="344">
        <v>0</v>
      </c>
      <c r="G279" s="344">
        <v>0</v>
      </c>
      <c r="H279" s="344">
        <v>0</v>
      </c>
      <c r="I279" s="344">
        <v>0</v>
      </c>
      <c r="J279" s="344">
        <v>1</v>
      </c>
      <c r="K279" s="343"/>
      <c r="L279" s="343" t="s">
        <v>683</v>
      </c>
      <c r="M279" s="345"/>
      <c r="N279" s="345"/>
      <c r="O279" s="343" t="s">
        <v>1730</v>
      </c>
      <c r="P279" s="343" t="s">
        <v>1709</v>
      </c>
      <c r="Q279" s="345"/>
      <c r="R279" s="342" t="s">
        <v>895</v>
      </c>
      <c r="S279" s="343" t="s">
        <v>1731</v>
      </c>
      <c r="T279" s="345"/>
      <c r="U279" s="343" t="s">
        <v>26</v>
      </c>
      <c r="V279" s="345"/>
      <c r="W279" s="343" t="s">
        <v>718</v>
      </c>
      <c r="X279" s="344">
        <v>10</v>
      </c>
    </row>
    <row r="280" spans="1:24" ht="87.5" x14ac:dyDescent="0.3">
      <c r="A280" s="343" t="s">
        <v>544</v>
      </c>
      <c r="B280" s="343" t="s">
        <v>1732</v>
      </c>
      <c r="C280" s="344">
        <v>0</v>
      </c>
      <c r="D280" s="344">
        <v>0</v>
      </c>
      <c r="E280" s="344">
        <v>0</v>
      </c>
      <c r="F280" s="344">
        <v>0</v>
      </c>
      <c r="G280" s="344">
        <v>0</v>
      </c>
      <c r="H280" s="344">
        <v>0</v>
      </c>
      <c r="I280" s="344">
        <v>0</v>
      </c>
      <c r="J280" s="344">
        <v>1</v>
      </c>
      <c r="K280" s="345"/>
      <c r="L280" s="343" t="s">
        <v>683</v>
      </c>
      <c r="M280" s="345"/>
      <c r="N280" s="345"/>
      <c r="O280" s="345"/>
      <c r="P280" s="343" t="s">
        <v>1733</v>
      </c>
      <c r="Q280" s="343" t="s">
        <v>1734</v>
      </c>
      <c r="R280" s="345"/>
      <c r="S280" s="345" t="s">
        <v>1735</v>
      </c>
      <c r="T280" s="345" t="s">
        <v>1736</v>
      </c>
      <c r="U280" s="343" t="s">
        <v>26</v>
      </c>
      <c r="V280" s="345"/>
      <c r="W280" s="343" t="s">
        <v>718</v>
      </c>
      <c r="X280" s="344">
        <v>10</v>
      </c>
    </row>
    <row r="281" spans="1:24" ht="87.5" x14ac:dyDescent="0.3">
      <c r="A281" s="343" t="s">
        <v>546</v>
      </c>
      <c r="B281" s="343" t="s">
        <v>1737</v>
      </c>
      <c r="C281" s="344">
        <v>0</v>
      </c>
      <c r="D281" s="344">
        <v>0</v>
      </c>
      <c r="E281" s="344">
        <v>0</v>
      </c>
      <c r="F281" s="344">
        <v>0</v>
      </c>
      <c r="G281" s="344">
        <v>0</v>
      </c>
      <c r="H281" s="344">
        <v>0</v>
      </c>
      <c r="I281" s="344">
        <v>0</v>
      </c>
      <c r="J281" s="344">
        <v>1</v>
      </c>
      <c r="K281" s="345"/>
      <c r="L281" s="343" t="s">
        <v>683</v>
      </c>
      <c r="M281" s="345"/>
      <c r="N281" s="345"/>
      <c r="O281" s="345"/>
      <c r="P281" s="343" t="s">
        <v>1709</v>
      </c>
      <c r="Q281" s="343" t="s">
        <v>1738</v>
      </c>
      <c r="R281" s="345"/>
      <c r="S281" s="345" t="s">
        <v>1739</v>
      </c>
      <c r="T281" s="343" t="s">
        <v>1740</v>
      </c>
      <c r="U281" s="343" t="s">
        <v>26</v>
      </c>
      <c r="V281" s="345"/>
      <c r="W281" s="343" t="s">
        <v>718</v>
      </c>
      <c r="X281" s="344">
        <v>10</v>
      </c>
    </row>
    <row r="282" spans="1:24" ht="87.5" x14ac:dyDescent="0.3">
      <c r="A282" s="343" t="s">
        <v>548</v>
      </c>
      <c r="B282" s="343" t="s">
        <v>1741</v>
      </c>
      <c r="C282" s="344">
        <v>0</v>
      </c>
      <c r="D282" s="344">
        <v>0</v>
      </c>
      <c r="E282" s="344">
        <v>0</v>
      </c>
      <c r="F282" s="344">
        <v>0</v>
      </c>
      <c r="G282" s="344">
        <v>0</v>
      </c>
      <c r="H282" s="344">
        <v>0</v>
      </c>
      <c r="I282" s="344">
        <v>0</v>
      </c>
      <c r="J282" s="344">
        <v>1</v>
      </c>
      <c r="K282" s="345"/>
      <c r="L282" s="343" t="s">
        <v>683</v>
      </c>
      <c r="M282" s="345"/>
      <c r="N282" s="345"/>
      <c r="O282" s="345"/>
      <c r="P282" s="343" t="s">
        <v>1709</v>
      </c>
      <c r="Q282" s="343" t="s">
        <v>1734</v>
      </c>
      <c r="R282" s="350" t="s">
        <v>1742</v>
      </c>
      <c r="S282" s="345" t="s">
        <v>1743</v>
      </c>
      <c r="T282" s="345" t="s">
        <v>1744</v>
      </c>
      <c r="U282" s="343" t="s">
        <v>26</v>
      </c>
      <c r="V282" s="345"/>
      <c r="W282" s="343" t="s">
        <v>718</v>
      </c>
      <c r="X282" s="344">
        <v>10</v>
      </c>
    </row>
    <row r="283" spans="1:24" ht="126" x14ac:dyDescent="0.3">
      <c r="A283" s="343" t="s">
        <v>550</v>
      </c>
      <c r="B283" s="343" t="s">
        <v>1745</v>
      </c>
      <c r="C283" s="344">
        <v>0</v>
      </c>
      <c r="D283" s="344">
        <v>0</v>
      </c>
      <c r="E283" s="344">
        <v>0</v>
      </c>
      <c r="F283" s="344">
        <v>0</v>
      </c>
      <c r="G283" s="344">
        <v>0</v>
      </c>
      <c r="H283" s="344">
        <v>0</v>
      </c>
      <c r="I283" s="344">
        <v>0</v>
      </c>
      <c r="J283" s="344">
        <v>1</v>
      </c>
      <c r="K283" s="345"/>
      <c r="L283" s="343" t="s">
        <v>683</v>
      </c>
      <c r="M283" s="345"/>
      <c r="N283" s="345"/>
      <c r="O283" s="343" t="s">
        <v>1746</v>
      </c>
      <c r="P283" s="343" t="s">
        <v>1709</v>
      </c>
      <c r="Q283" s="343" t="s">
        <v>1747</v>
      </c>
      <c r="R283" s="350" t="s">
        <v>1748</v>
      </c>
      <c r="S283" s="343" t="s">
        <v>1749</v>
      </c>
      <c r="T283" s="345"/>
      <c r="U283" s="343" t="s">
        <v>26</v>
      </c>
      <c r="V283" s="345"/>
      <c r="W283" s="343" t="s">
        <v>718</v>
      </c>
      <c r="X283" s="344">
        <v>10</v>
      </c>
    </row>
    <row r="284" spans="1:24" ht="100" x14ac:dyDescent="0.3">
      <c r="A284" s="343" t="s">
        <v>552</v>
      </c>
      <c r="B284" s="343" t="s">
        <v>1750</v>
      </c>
      <c r="C284" s="344">
        <v>0</v>
      </c>
      <c r="D284" s="344">
        <v>0</v>
      </c>
      <c r="E284" s="344">
        <v>0</v>
      </c>
      <c r="F284" s="344">
        <v>0</v>
      </c>
      <c r="G284" s="344">
        <v>0</v>
      </c>
      <c r="H284" s="344">
        <v>0</v>
      </c>
      <c r="I284" s="344">
        <v>0</v>
      </c>
      <c r="J284" s="344">
        <v>1</v>
      </c>
      <c r="K284" s="345"/>
      <c r="L284" s="343" t="s">
        <v>683</v>
      </c>
      <c r="M284" s="345"/>
      <c r="N284" s="345"/>
      <c r="O284" s="345"/>
      <c r="P284" s="343" t="s">
        <v>1709</v>
      </c>
      <c r="Q284" s="343" t="s">
        <v>1734</v>
      </c>
      <c r="R284" s="350" t="s">
        <v>1751</v>
      </c>
      <c r="S284" s="345" t="s">
        <v>1752</v>
      </c>
      <c r="T284" s="345" t="s">
        <v>1753</v>
      </c>
      <c r="U284" s="343" t="s">
        <v>26</v>
      </c>
      <c r="V284" s="345"/>
      <c r="W284" s="343" t="s">
        <v>718</v>
      </c>
      <c r="X284" s="344">
        <v>10</v>
      </c>
    </row>
    <row r="285" spans="1:24" ht="112" x14ac:dyDescent="0.25">
      <c r="A285" s="343" t="s">
        <v>554</v>
      </c>
      <c r="B285" s="343" t="s">
        <v>1754</v>
      </c>
      <c r="C285" s="344">
        <v>0</v>
      </c>
      <c r="D285" s="344">
        <v>0</v>
      </c>
      <c r="E285" s="344">
        <v>0</v>
      </c>
      <c r="F285" s="344">
        <v>0</v>
      </c>
      <c r="G285" s="344">
        <v>0</v>
      </c>
      <c r="H285" s="344">
        <v>0</v>
      </c>
      <c r="I285" s="344">
        <v>0</v>
      </c>
      <c r="J285" s="344">
        <v>1</v>
      </c>
      <c r="K285" s="345"/>
      <c r="L285" s="343" t="s">
        <v>683</v>
      </c>
      <c r="M285" s="345"/>
      <c r="N285" s="345"/>
      <c r="O285" s="345"/>
      <c r="P285" s="343" t="s">
        <v>1755</v>
      </c>
      <c r="Q285" s="348"/>
      <c r="R285" s="350" t="s">
        <v>1756</v>
      </c>
      <c r="S285" s="343" t="s">
        <v>1757</v>
      </c>
      <c r="T285" s="345"/>
      <c r="U285" s="343" t="s">
        <v>26</v>
      </c>
      <c r="V285" s="345"/>
      <c r="W285" s="343" t="s">
        <v>718</v>
      </c>
      <c r="X285" s="344">
        <v>10</v>
      </c>
    </row>
    <row r="286" spans="1:24" ht="210" x14ac:dyDescent="0.3">
      <c r="A286" s="343" t="s">
        <v>556</v>
      </c>
      <c r="B286" s="343" t="s">
        <v>1758</v>
      </c>
      <c r="C286" s="344">
        <v>0</v>
      </c>
      <c r="D286" s="344">
        <v>0</v>
      </c>
      <c r="E286" s="344">
        <v>0</v>
      </c>
      <c r="F286" s="344">
        <v>0</v>
      </c>
      <c r="G286" s="344">
        <v>0</v>
      </c>
      <c r="H286" s="344">
        <v>0</v>
      </c>
      <c r="I286" s="344">
        <v>0</v>
      </c>
      <c r="J286" s="344">
        <v>1</v>
      </c>
      <c r="K286" s="345"/>
      <c r="L286" s="343" t="s">
        <v>683</v>
      </c>
      <c r="M286" s="345"/>
      <c r="N286" s="345"/>
      <c r="O286" s="343" t="s">
        <v>1759</v>
      </c>
      <c r="P286" s="343" t="s">
        <v>1759</v>
      </c>
      <c r="Q286" s="343" t="s">
        <v>1759</v>
      </c>
      <c r="R286" s="350" t="s">
        <v>1760</v>
      </c>
      <c r="S286" s="343" t="s">
        <v>1761</v>
      </c>
      <c r="T286" s="345"/>
      <c r="U286" s="343" t="s">
        <v>26</v>
      </c>
      <c r="V286" s="345"/>
      <c r="W286" s="343" t="s">
        <v>718</v>
      </c>
      <c r="X286" s="344">
        <v>10</v>
      </c>
    </row>
    <row r="287" spans="1:24" ht="87.5" x14ac:dyDescent="0.3">
      <c r="A287" s="343" t="s">
        <v>558</v>
      </c>
      <c r="B287" s="343" t="s">
        <v>1762</v>
      </c>
      <c r="C287" s="344">
        <v>0</v>
      </c>
      <c r="D287" s="344">
        <v>0</v>
      </c>
      <c r="E287" s="344">
        <v>0</v>
      </c>
      <c r="F287" s="344">
        <v>0</v>
      </c>
      <c r="G287" s="344">
        <v>0</v>
      </c>
      <c r="H287" s="344">
        <v>0</v>
      </c>
      <c r="I287" s="344">
        <v>0</v>
      </c>
      <c r="J287" s="344">
        <v>1</v>
      </c>
      <c r="K287" s="345"/>
      <c r="L287" s="343" t="s">
        <v>683</v>
      </c>
      <c r="M287" s="345"/>
      <c r="N287" s="345"/>
      <c r="O287" s="345"/>
      <c r="P287" s="345"/>
      <c r="Q287" s="345"/>
      <c r="R287" s="350" t="s">
        <v>1763</v>
      </c>
      <c r="S287" s="345" t="s">
        <v>1764</v>
      </c>
      <c r="T287" s="345" t="s">
        <v>1765</v>
      </c>
      <c r="U287" s="343" t="s">
        <v>26</v>
      </c>
      <c r="V287" s="345"/>
      <c r="W287" s="343" t="s">
        <v>718</v>
      </c>
      <c r="X287" s="344">
        <v>10</v>
      </c>
    </row>
    <row r="288" spans="1:24" ht="84" x14ac:dyDescent="0.3">
      <c r="A288" s="343" t="s">
        <v>560</v>
      </c>
      <c r="B288" s="343" t="s">
        <v>1766</v>
      </c>
      <c r="C288" s="344">
        <v>0</v>
      </c>
      <c r="D288" s="344">
        <v>0</v>
      </c>
      <c r="E288" s="344">
        <v>0</v>
      </c>
      <c r="F288" s="344">
        <v>0</v>
      </c>
      <c r="G288" s="344">
        <v>0</v>
      </c>
      <c r="H288" s="344">
        <v>0</v>
      </c>
      <c r="I288" s="344">
        <v>0</v>
      </c>
      <c r="J288" s="344">
        <v>1</v>
      </c>
      <c r="K288" s="345"/>
      <c r="L288" s="343" t="s">
        <v>683</v>
      </c>
      <c r="M288" s="345"/>
      <c r="N288" s="345"/>
      <c r="O288" s="345"/>
      <c r="P288" s="345"/>
      <c r="Q288" s="345"/>
      <c r="R288" s="350" t="s">
        <v>1767</v>
      </c>
      <c r="S288" s="345" t="s">
        <v>1768</v>
      </c>
      <c r="T288" s="345" t="s">
        <v>1769</v>
      </c>
      <c r="U288" s="343" t="s">
        <v>26</v>
      </c>
      <c r="V288" s="345"/>
      <c r="W288" s="343" t="s">
        <v>718</v>
      </c>
      <c r="X288" s="344">
        <v>10</v>
      </c>
    </row>
    <row r="289" spans="1:24" ht="100" x14ac:dyDescent="0.3">
      <c r="A289" s="343" t="s">
        <v>562</v>
      </c>
      <c r="B289" s="343" t="s">
        <v>1770</v>
      </c>
      <c r="C289" s="344">
        <v>0</v>
      </c>
      <c r="D289" s="344">
        <v>0</v>
      </c>
      <c r="E289" s="344">
        <v>0</v>
      </c>
      <c r="F289" s="344">
        <v>0</v>
      </c>
      <c r="G289" s="344">
        <v>0</v>
      </c>
      <c r="H289" s="344">
        <v>0</v>
      </c>
      <c r="I289" s="344">
        <v>0</v>
      </c>
      <c r="J289" s="344">
        <v>1</v>
      </c>
      <c r="K289" s="345"/>
      <c r="L289" s="343" t="s">
        <v>683</v>
      </c>
      <c r="M289" s="345"/>
      <c r="N289" s="345"/>
      <c r="O289" s="345"/>
      <c r="P289" s="345"/>
      <c r="Q289" s="345"/>
      <c r="R289" s="350" t="s">
        <v>1771</v>
      </c>
      <c r="S289" s="345" t="s">
        <v>1772</v>
      </c>
      <c r="T289" s="345" t="s">
        <v>1773</v>
      </c>
      <c r="U289" s="343" t="s">
        <v>26</v>
      </c>
      <c r="V289" s="345"/>
      <c r="W289" s="343" t="s">
        <v>718</v>
      </c>
      <c r="X289" s="344">
        <v>10</v>
      </c>
    </row>
    <row r="290" spans="1:24" ht="87.5" x14ac:dyDescent="0.25">
      <c r="A290" s="343" t="s">
        <v>564</v>
      </c>
      <c r="B290" s="343" t="s">
        <v>1774</v>
      </c>
      <c r="C290" s="344">
        <v>0</v>
      </c>
      <c r="D290" s="344">
        <v>0</v>
      </c>
      <c r="E290" s="344">
        <v>0</v>
      </c>
      <c r="F290" s="344">
        <v>0</v>
      </c>
      <c r="G290" s="344">
        <v>0</v>
      </c>
      <c r="H290" s="344">
        <v>0</v>
      </c>
      <c r="I290" s="344">
        <v>0</v>
      </c>
      <c r="J290" s="344">
        <v>1</v>
      </c>
      <c r="K290" s="345"/>
      <c r="L290" s="343" t="s">
        <v>683</v>
      </c>
      <c r="M290" s="345"/>
      <c r="N290" s="345"/>
      <c r="O290" s="348"/>
      <c r="P290" s="345"/>
      <c r="Q290" s="343" t="s">
        <v>1775</v>
      </c>
      <c r="R290" s="350" t="s">
        <v>1776</v>
      </c>
      <c r="S290" s="345" t="s">
        <v>1777</v>
      </c>
      <c r="T290" s="345" t="s">
        <v>1778</v>
      </c>
      <c r="U290" s="343" t="s">
        <v>26</v>
      </c>
      <c r="V290" s="345"/>
      <c r="W290" s="343" t="s">
        <v>718</v>
      </c>
      <c r="X290" s="344">
        <v>10</v>
      </c>
    </row>
    <row r="291" spans="1:24" ht="100" x14ac:dyDescent="0.3">
      <c r="A291" s="343" t="s">
        <v>566</v>
      </c>
      <c r="B291" s="343" t="s">
        <v>1779</v>
      </c>
      <c r="C291" s="344">
        <v>0</v>
      </c>
      <c r="D291" s="344">
        <v>0</v>
      </c>
      <c r="E291" s="344">
        <v>0</v>
      </c>
      <c r="F291" s="344">
        <v>0</v>
      </c>
      <c r="G291" s="344">
        <v>0</v>
      </c>
      <c r="H291" s="344">
        <v>0</v>
      </c>
      <c r="I291" s="344">
        <v>0</v>
      </c>
      <c r="J291" s="344">
        <v>1</v>
      </c>
      <c r="K291" s="345"/>
      <c r="L291" s="343" t="s">
        <v>683</v>
      </c>
      <c r="M291" s="345"/>
      <c r="N291" s="345"/>
      <c r="O291" s="345"/>
      <c r="P291" s="345"/>
      <c r="Q291" s="343" t="s">
        <v>1780</v>
      </c>
      <c r="R291" s="350" t="s">
        <v>1781</v>
      </c>
      <c r="S291" s="345" t="s">
        <v>1782</v>
      </c>
      <c r="T291" s="345" t="s">
        <v>1783</v>
      </c>
      <c r="U291" s="343" t="s">
        <v>26</v>
      </c>
      <c r="V291" s="345"/>
      <c r="W291" s="343" t="s">
        <v>718</v>
      </c>
      <c r="X291" s="344">
        <v>10</v>
      </c>
    </row>
    <row r="292" spans="1:24" ht="100" x14ac:dyDescent="0.3">
      <c r="A292" s="343" t="s">
        <v>568</v>
      </c>
      <c r="B292" s="343" t="s">
        <v>1784</v>
      </c>
      <c r="C292" s="344">
        <v>0</v>
      </c>
      <c r="D292" s="344">
        <v>0</v>
      </c>
      <c r="E292" s="344">
        <v>0</v>
      </c>
      <c r="F292" s="344">
        <v>0</v>
      </c>
      <c r="G292" s="344">
        <v>0</v>
      </c>
      <c r="H292" s="344">
        <v>0</v>
      </c>
      <c r="I292" s="344">
        <v>0</v>
      </c>
      <c r="J292" s="344">
        <v>1</v>
      </c>
      <c r="K292" s="345"/>
      <c r="L292" s="343" t="s">
        <v>683</v>
      </c>
      <c r="M292" s="345"/>
      <c r="N292" s="345"/>
      <c r="O292" s="345"/>
      <c r="P292" s="345"/>
      <c r="Q292" s="343" t="s">
        <v>1785</v>
      </c>
      <c r="R292" s="350" t="s">
        <v>1786</v>
      </c>
      <c r="S292" s="345" t="s">
        <v>1787</v>
      </c>
      <c r="T292" s="345" t="s">
        <v>1788</v>
      </c>
      <c r="U292" s="343" t="s">
        <v>46</v>
      </c>
      <c r="V292" s="345"/>
      <c r="W292" s="343" t="s">
        <v>718</v>
      </c>
      <c r="X292" s="344">
        <v>10</v>
      </c>
    </row>
    <row r="293" spans="1:24" ht="238" x14ac:dyDescent="0.3">
      <c r="A293" s="343" t="s">
        <v>570</v>
      </c>
      <c r="B293" s="343" t="s">
        <v>1789</v>
      </c>
      <c r="C293" s="344">
        <v>0</v>
      </c>
      <c r="D293" s="344">
        <v>0</v>
      </c>
      <c r="E293" s="344">
        <v>0</v>
      </c>
      <c r="F293" s="344">
        <v>0</v>
      </c>
      <c r="G293" s="344">
        <v>0</v>
      </c>
      <c r="H293" s="344">
        <v>0</v>
      </c>
      <c r="I293" s="344">
        <v>0</v>
      </c>
      <c r="J293" s="344">
        <v>1</v>
      </c>
      <c r="K293" s="345"/>
      <c r="L293" s="343" t="s">
        <v>683</v>
      </c>
      <c r="M293" s="345"/>
      <c r="N293" s="345"/>
      <c r="O293" s="343" t="s">
        <v>1790</v>
      </c>
      <c r="P293" s="343" t="s">
        <v>1790</v>
      </c>
      <c r="Q293" s="343" t="s">
        <v>1791</v>
      </c>
      <c r="R293" s="350" t="s">
        <v>1792</v>
      </c>
      <c r="S293" s="343" t="s">
        <v>1793</v>
      </c>
      <c r="T293" s="343" t="s">
        <v>1794</v>
      </c>
      <c r="U293" s="343" t="s">
        <v>26</v>
      </c>
      <c r="V293" s="345"/>
      <c r="W293" s="343" t="s">
        <v>718</v>
      </c>
      <c r="X293" s="344">
        <v>10</v>
      </c>
    </row>
    <row r="294" spans="1:24" ht="168" x14ac:dyDescent="0.3">
      <c r="A294" s="343" t="s">
        <v>572</v>
      </c>
      <c r="B294" s="343" t="s">
        <v>1795</v>
      </c>
      <c r="C294" s="344">
        <v>0</v>
      </c>
      <c r="D294" s="344">
        <v>0</v>
      </c>
      <c r="E294" s="344">
        <v>0</v>
      </c>
      <c r="F294" s="344">
        <v>0</v>
      </c>
      <c r="G294" s="344">
        <v>0</v>
      </c>
      <c r="H294" s="344">
        <v>0</v>
      </c>
      <c r="I294" s="344">
        <v>0</v>
      </c>
      <c r="J294" s="344">
        <v>1</v>
      </c>
      <c r="K294" s="345"/>
      <c r="L294" s="343" t="s">
        <v>683</v>
      </c>
      <c r="M294" s="345"/>
      <c r="N294" s="345"/>
      <c r="O294" s="345"/>
      <c r="P294" s="345"/>
      <c r="Q294" s="343" t="s">
        <v>1796</v>
      </c>
      <c r="R294" s="345"/>
      <c r="S294" s="343" t="s">
        <v>1797</v>
      </c>
      <c r="T294" s="345"/>
      <c r="U294" s="343" t="s">
        <v>26</v>
      </c>
      <c r="V294" s="345"/>
      <c r="W294" s="343" t="s">
        <v>718</v>
      </c>
      <c r="X294" s="344">
        <v>10</v>
      </c>
    </row>
    <row r="295" spans="1:24" ht="126" x14ac:dyDescent="0.25">
      <c r="A295" s="343" t="s">
        <v>574</v>
      </c>
      <c r="B295" s="343" t="s">
        <v>1798</v>
      </c>
      <c r="C295" s="344">
        <v>0</v>
      </c>
      <c r="D295" s="344">
        <v>0</v>
      </c>
      <c r="E295" s="344">
        <v>0</v>
      </c>
      <c r="F295" s="344">
        <v>0</v>
      </c>
      <c r="G295" s="344">
        <v>0</v>
      </c>
      <c r="H295" s="344">
        <v>0</v>
      </c>
      <c r="I295" s="344">
        <v>0</v>
      </c>
      <c r="J295" s="344">
        <v>1</v>
      </c>
      <c r="K295" s="343"/>
      <c r="L295" s="343" t="s">
        <v>683</v>
      </c>
      <c r="M295" s="345"/>
      <c r="N295" s="343" t="s">
        <v>1799</v>
      </c>
      <c r="O295" s="348"/>
      <c r="P295" s="343" t="s">
        <v>1800</v>
      </c>
      <c r="Q295" s="343" t="s">
        <v>1801</v>
      </c>
      <c r="R295" s="342" t="s">
        <v>895</v>
      </c>
      <c r="S295" s="345" t="s">
        <v>1802</v>
      </c>
      <c r="T295" s="343" t="s">
        <v>1803</v>
      </c>
      <c r="U295" s="343" t="s">
        <v>46</v>
      </c>
      <c r="V295" s="345"/>
      <c r="W295" s="343" t="s">
        <v>718</v>
      </c>
      <c r="X295" s="344">
        <v>10</v>
      </c>
    </row>
    <row r="296" spans="1:24" ht="98" x14ac:dyDescent="0.3">
      <c r="A296" s="356" t="s">
        <v>575</v>
      </c>
      <c r="B296" s="356" t="s">
        <v>1804</v>
      </c>
      <c r="C296" s="344">
        <v>0</v>
      </c>
      <c r="D296" s="344">
        <v>0</v>
      </c>
      <c r="E296" s="344">
        <v>0</v>
      </c>
      <c r="F296" s="344">
        <v>0</v>
      </c>
      <c r="G296" s="344">
        <v>0</v>
      </c>
      <c r="H296" s="344">
        <v>0</v>
      </c>
      <c r="I296" s="344">
        <v>0</v>
      </c>
      <c r="J296" s="344">
        <v>1</v>
      </c>
      <c r="K296" s="345"/>
      <c r="L296" s="343" t="s">
        <v>683</v>
      </c>
      <c r="M296" s="345"/>
      <c r="N296" s="343" t="s">
        <v>1799</v>
      </c>
      <c r="O296" s="345"/>
      <c r="P296" s="343" t="s">
        <v>1805</v>
      </c>
      <c r="Q296" s="343" t="s">
        <v>1806</v>
      </c>
      <c r="R296" s="342" t="s">
        <v>895</v>
      </c>
      <c r="S296" s="343" t="s">
        <v>1807</v>
      </c>
      <c r="T296" s="343" t="s">
        <v>1808</v>
      </c>
      <c r="U296" s="343" t="s">
        <v>46</v>
      </c>
      <c r="V296" s="345"/>
      <c r="W296" s="343" t="s">
        <v>769</v>
      </c>
      <c r="X296" s="344">
        <v>20</v>
      </c>
    </row>
    <row r="297" spans="1:24" ht="112" x14ac:dyDescent="0.3">
      <c r="A297" s="356" t="s">
        <v>577</v>
      </c>
      <c r="B297" s="356" t="s">
        <v>1809</v>
      </c>
      <c r="C297" s="344">
        <v>0</v>
      </c>
      <c r="D297" s="344">
        <v>0</v>
      </c>
      <c r="E297" s="344">
        <v>0</v>
      </c>
      <c r="F297" s="344">
        <v>0</v>
      </c>
      <c r="G297" s="344">
        <v>0</v>
      </c>
      <c r="H297" s="344">
        <v>0</v>
      </c>
      <c r="I297" s="344">
        <v>0</v>
      </c>
      <c r="J297" s="344">
        <v>1</v>
      </c>
      <c r="K297" s="345"/>
      <c r="L297" s="343" t="s">
        <v>683</v>
      </c>
      <c r="M297" s="345"/>
      <c r="N297" s="343" t="s">
        <v>1799</v>
      </c>
      <c r="O297" s="345"/>
      <c r="P297" s="343" t="s">
        <v>1810</v>
      </c>
      <c r="Q297" s="343" t="s">
        <v>1811</v>
      </c>
      <c r="R297" s="342" t="s">
        <v>895</v>
      </c>
      <c r="S297" s="343" t="s">
        <v>1812</v>
      </c>
      <c r="T297" s="343" t="s">
        <v>1813</v>
      </c>
      <c r="U297" s="343" t="s">
        <v>26</v>
      </c>
      <c r="V297" s="345"/>
      <c r="W297" s="343" t="s">
        <v>769</v>
      </c>
      <c r="X297" s="344">
        <v>20</v>
      </c>
    </row>
    <row r="298" spans="1:24" ht="98" x14ac:dyDescent="0.3">
      <c r="A298" s="343" t="s">
        <v>579</v>
      </c>
      <c r="B298" s="343" t="s">
        <v>1814</v>
      </c>
      <c r="C298" s="344">
        <v>0</v>
      </c>
      <c r="D298" s="344">
        <v>0</v>
      </c>
      <c r="E298" s="344">
        <v>0</v>
      </c>
      <c r="F298" s="344">
        <v>0</v>
      </c>
      <c r="G298" s="344">
        <v>0</v>
      </c>
      <c r="H298" s="344">
        <v>0</v>
      </c>
      <c r="I298" s="344">
        <v>0</v>
      </c>
      <c r="J298" s="344">
        <v>1</v>
      </c>
      <c r="K298" s="343"/>
      <c r="L298" s="343" t="s">
        <v>683</v>
      </c>
      <c r="M298" s="345"/>
      <c r="N298" s="343" t="s">
        <v>1799</v>
      </c>
      <c r="O298" s="345"/>
      <c r="P298" s="343" t="s">
        <v>1815</v>
      </c>
      <c r="Q298" s="343" t="s">
        <v>1816</v>
      </c>
      <c r="R298" s="342" t="s">
        <v>895</v>
      </c>
      <c r="S298" s="343" t="s">
        <v>1817</v>
      </c>
      <c r="T298" s="343" t="s">
        <v>1818</v>
      </c>
      <c r="U298" s="343" t="s">
        <v>46</v>
      </c>
      <c r="V298" s="345"/>
      <c r="W298" s="343" t="s">
        <v>718</v>
      </c>
      <c r="X298" s="344">
        <v>10</v>
      </c>
    </row>
    <row r="299" spans="1:24" ht="112" x14ac:dyDescent="0.3">
      <c r="A299" s="343" t="s">
        <v>581</v>
      </c>
      <c r="B299" s="343" t="s">
        <v>1819</v>
      </c>
      <c r="C299" s="344">
        <v>0</v>
      </c>
      <c r="D299" s="344">
        <v>0</v>
      </c>
      <c r="E299" s="344">
        <v>0</v>
      </c>
      <c r="F299" s="344">
        <v>0</v>
      </c>
      <c r="G299" s="344">
        <v>0</v>
      </c>
      <c r="H299" s="344">
        <v>0</v>
      </c>
      <c r="I299" s="344">
        <v>0</v>
      </c>
      <c r="J299" s="344">
        <v>1</v>
      </c>
      <c r="K299" s="343"/>
      <c r="L299" s="343" t="s">
        <v>683</v>
      </c>
      <c r="M299" s="345"/>
      <c r="N299" s="343" t="s">
        <v>1799</v>
      </c>
      <c r="O299" s="345"/>
      <c r="P299" s="343" t="s">
        <v>1820</v>
      </c>
      <c r="Q299" s="343" t="s">
        <v>1820</v>
      </c>
      <c r="R299" s="342" t="s">
        <v>895</v>
      </c>
      <c r="S299" s="343" t="s">
        <v>1821</v>
      </c>
      <c r="T299" s="343" t="s">
        <v>1822</v>
      </c>
      <c r="U299" s="343" t="s">
        <v>26</v>
      </c>
      <c r="V299" s="345"/>
      <c r="W299" s="343" t="s">
        <v>727</v>
      </c>
      <c r="X299" s="344">
        <v>5</v>
      </c>
    </row>
    <row r="300" spans="1:24" ht="140" x14ac:dyDescent="0.3">
      <c r="A300" s="343" t="s">
        <v>583</v>
      </c>
      <c r="B300" s="343" t="s">
        <v>1823</v>
      </c>
      <c r="C300" s="344">
        <v>0</v>
      </c>
      <c r="D300" s="344">
        <v>0</v>
      </c>
      <c r="E300" s="344">
        <v>0</v>
      </c>
      <c r="F300" s="344">
        <v>0</v>
      </c>
      <c r="G300" s="344">
        <v>0</v>
      </c>
      <c r="H300" s="344">
        <v>0</v>
      </c>
      <c r="I300" s="344">
        <v>0</v>
      </c>
      <c r="J300" s="344">
        <v>1</v>
      </c>
      <c r="K300" s="343"/>
      <c r="L300" s="343" t="s">
        <v>683</v>
      </c>
      <c r="M300" s="345"/>
      <c r="N300" s="343" t="s">
        <v>1799</v>
      </c>
      <c r="O300" s="343" t="s">
        <v>1824</v>
      </c>
      <c r="P300" s="343" t="s">
        <v>1824</v>
      </c>
      <c r="Q300" s="343" t="s">
        <v>1824</v>
      </c>
      <c r="R300" s="342" t="s">
        <v>895</v>
      </c>
      <c r="S300" s="343" t="s">
        <v>1825</v>
      </c>
      <c r="T300" s="345"/>
      <c r="U300" s="343" t="s">
        <v>46</v>
      </c>
      <c r="V300" s="345"/>
      <c r="W300" s="343" t="s">
        <v>727</v>
      </c>
      <c r="X300" s="344">
        <v>5</v>
      </c>
    </row>
    <row r="301" spans="1:24" ht="210" x14ac:dyDescent="0.3">
      <c r="A301" s="343" t="s">
        <v>585</v>
      </c>
      <c r="B301" s="343" t="s">
        <v>1826</v>
      </c>
      <c r="C301" s="344">
        <v>0</v>
      </c>
      <c r="D301" s="344">
        <v>0</v>
      </c>
      <c r="E301" s="344">
        <v>0</v>
      </c>
      <c r="F301" s="344">
        <v>0</v>
      </c>
      <c r="G301" s="344">
        <v>0</v>
      </c>
      <c r="H301" s="344">
        <v>0</v>
      </c>
      <c r="I301" s="344">
        <v>0</v>
      </c>
      <c r="J301" s="344">
        <v>1</v>
      </c>
      <c r="K301" s="343"/>
      <c r="L301" s="343" t="s">
        <v>683</v>
      </c>
      <c r="M301" s="345"/>
      <c r="N301" s="343" t="s">
        <v>1799</v>
      </c>
      <c r="O301" s="345"/>
      <c r="P301" s="343" t="s">
        <v>1709</v>
      </c>
      <c r="Q301" s="343" t="s">
        <v>1827</v>
      </c>
      <c r="R301" s="342" t="s">
        <v>895</v>
      </c>
      <c r="S301" s="347" t="s">
        <v>1828</v>
      </c>
      <c r="T301" s="345"/>
      <c r="U301" s="343" t="s">
        <v>26</v>
      </c>
      <c r="V301" s="345"/>
      <c r="W301" s="343" t="s">
        <v>727</v>
      </c>
      <c r="X301" s="344">
        <v>5</v>
      </c>
    </row>
    <row r="302" spans="1:24" ht="87.5" x14ac:dyDescent="0.3">
      <c r="A302" s="343" t="s">
        <v>587</v>
      </c>
      <c r="B302" s="343" t="s">
        <v>1829</v>
      </c>
      <c r="C302" s="344">
        <v>0</v>
      </c>
      <c r="D302" s="344">
        <v>0</v>
      </c>
      <c r="E302" s="344">
        <v>0</v>
      </c>
      <c r="F302" s="344">
        <v>0</v>
      </c>
      <c r="G302" s="344">
        <v>0</v>
      </c>
      <c r="H302" s="344">
        <v>0</v>
      </c>
      <c r="I302" s="344">
        <v>0</v>
      </c>
      <c r="J302" s="344">
        <v>1</v>
      </c>
      <c r="K302" s="343"/>
      <c r="L302" s="343" t="s">
        <v>683</v>
      </c>
      <c r="M302" s="345"/>
      <c r="N302" s="343" t="s">
        <v>1799</v>
      </c>
      <c r="O302" s="345"/>
      <c r="P302" s="343" t="s">
        <v>1709</v>
      </c>
      <c r="Q302" s="343" t="s">
        <v>1830</v>
      </c>
      <c r="R302" s="342" t="s">
        <v>895</v>
      </c>
      <c r="S302" s="345" t="s">
        <v>1831</v>
      </c>
      <c r="T302" s="345" t="s">
        <v>1832</v>
      </c>
      <c r="U302" s="343" t="s">
        <v>26</v>
      </c>
      <c r="V302" s="345"/>
      <c r="W302" s="343" t="s">
        <v>727</v>
      </c>
      <c r="X302" s="344">
        <v>5</v>
      </c>
    </row>
    <row r="303" spans="1:24" ht="98" x14ac:dyDescent="0.3">
      <c r="A303" s="221" t="s">
        <v>408</v>
      </c>
      <c r="B303" s="342" t="s">
        <v>1833</v>
      </c>
      <c r="C303" s="342">
        <v>0</v>
      </c>
      <c r="D303" s="342">
        <v>0</v>
      </c>
      <c r="E303" s="342">
        <v>0</v>
      </c>
      <c r="F303" s="342">
        <v>0</v>
      </c>
      <c r="G303" s="342">
        <v>0</v>
      </c>
      <c r="H303" s="342">
        <v>0</v>
      </c>
      <c r="I303" s="342">
        <v>1</v>
      </c>
      <c r="J303" s="342">
        <v>0</v>
      </c>
      <c r="K303" s="342" t="s">
        <v>697</v>
      </c>
      <c r="L303" s="342" t="s">
        <v>700</v>
      </c>
      <c r="M303" s="342"/>
      <c r="N303" s="342" t="s">
        <v>1799</v>
      </c>
      <c r="O303" s="342" t="s">
        <v>1834</v>
      </c>
      <c r="P303" s="342" t="s">
        <v>1835</v>
      </c>
      <c r="Q303" s="342" t="s">
        <v>1836</v>
      </c>
      <c r="S303" s="342"/>
      <c r="T303" s="342"/>
      <c r="U303" s="342" t="s">
        <v>700</v>
      </c>
      <c r="V303" s="342" t="s">
        <v>699</v>
      </c>
      <c r="W303" s="342"/>
      <c r="X303" s="342"/>
    </row>
    <row r="304" spans="1:24" ht="98" x14ac:dyDescent="0.3">
      <c r="A304" s="221" t="s">
        <v>410</v>
      </c>
      <c r="B304" s="342" t="s">
        <v>1837</v>
      </c>
      <c r="C304" s="342">
        <v>0</v>
      </c>
      <c r="D304" s="342">
        <v>0</v>
      </c>
      <c r="E304" s="342">
        <v>0</v>
      </c>
      <c r="F304" s="342">
        <v>0</v>
      </c>
      <c r="G304" s="342">
        <v>0</v>
      </c>
      <c r="H304" s="342">
        <v>0</v>
      </c>
      <c r="I304" s="342">
        <v>1</v>
      </c>
      <c r="J304" s="342">
        <v>0</v>
      </c>
      <c r="K304" s="342" t="s">
        <v>697</v>
      </c>
      <c r="L304" s="342" t="s">
        <v>700</v>
      </c>
      <c r="M304" s="342"/>
      <c r="N304" s="342" t="s">
        <v>1799</v>
      </c>
      <c r="O304" s="342" t="s">
        <v>1838</v>
      </c>
      <c r="P304" s="342" t="s">
        <v>1839</v>
      </c>
      <c r="Q304" s="342" t="s">
        <v>1840</v>
      </c>
      <c r="S304" s="342"/>
      <c r="T304" s="342"/>
      <c r="U304" s="342" t="s">
        <v>700</v>
      </c>
      <c r="V304" s="342" t="s">
        <v>699</v>
      </c>
      <c r="W304" s="342"/>
      <c r="X304" s="342"/>
    </row>
    <row r="305" spans="1:24" ht="112" x14ac:dyDescent="0.3">
      <c r="A305" s="355" t="s">
        <v>412</v>
      </c>
      <c r="B305" s="354" t="s">
        <v>1841</v>
      </c>
      <c r="C305" s="342">
        <v>0</v>
      </c>
      <c r="D305" s="342">
        <v>0</v>
      </c>
      <c r="E305" s="342">
        <v>0</v>
      </c>
      <c r="F305" s="342">
        <v>0</v>
      </c>
      <c r="G305" s="342">
        <v>0</v>
      </c>
      <c r="H305" s="342">
        <v>0</v>
      </c>
      <c r="I305" s="342">
        <v>1</v>
      </c>
      <c r="J305" s="342">
        <v>0</v>
      </c>
      <c r="K305" s="342"/>
      <c r="L305" s="342" t="s">
        <v>682</v>
      </c>
      <c r="M305" s="342"/>
      <c r="N305" s="342" t="s">
        <v>1799</v>
      </c>
      <c r="O305" s="342" t="s">
        <v>1842</v>
      </c>
      <c r="P305" s="342" t="s">
        <v>1843</v>
      </c>
      <c r="Q305" s="342" t="s">
        <v>1844</v>
      </c>
      <c r="R305" s="342"/>
      <c r="S305" s="342" t="s">
        <v>1845</v>
      </c>
      <c r="T305" s="342" t="s">
        <v>1846</v>
      </c>
      <c r="U305" s="342" t="s">
        <v>26</v>
      </c>
      <c r="V305" s="342" t="s">
        <v>699</v>
      </c>
      <c r="W305" s="342" t="s">
        <v>769</v>
      </c>
      <c r="X305" s="342">
        <f t="shared" ref="X305:X317" si="4">IF($W305="Critical Importance",20,IF($W305="Minor Importance",5,10))</f>
        <v>20</v>
      </c>
    </row>
    <row r="306" spans="1:24" ht="84" x14ac:dyDescent="0.3">
      <c r="A306" s="355" t="s">
        <v>414</v>
      </c>
      <c r="B306" s="354" t="s">
        <v>1847</v>
      </c>
      <c r="C306" s="342">
        <v>0</v>
      </c>
      <c r="D306" s="342">
        <v>0</v>
      </c>
      <c r="E306" s="342">
        <v>0</v>
      </c>
      <c r="F306" s="342">
        <v>0</v>
      </c>
      <c r="G306" s="342">
        <v>0</v>
      </c>
      <c r="H306" s="342">
        <v>0</v>
      </c>
      <c r="I306" s="342">
        <v>1</v>
      </c>
      <c r="J306" s="342">
        <v>0</v>
      </c>
      <c r="K306" s="342"/>
      <c r="L306" s="342" t="s">
        <v>682</v>
      </c>
      <c r="M306" s="342"/>
      <c r="N306" s="342" t="s">
        <v>1799</v>
      </c>
      <c r="O306" s="342"/>
      <c r="P306" s="342" t="s">
        <v>1848</v>
      </c>
      <c r="Q306" s="342" t="s">
        <v>1849</v>
      </c>
      <c r="R306" s="342" t="s">
        <v>1850</v>
      </c>
      <c r="S306" s="342" t="s">
        <v>1851</v>
      </c>
      <c r="T306" s="342" t="s">
        <v>1852</v>
      </c>
      <c r="U306" s="342" t="s">
        <v>26</v>
      </c>
      <c r="V306" s="342" t="s">
        <v>699</v>
      </c>
      <c r="W306" s="342" t="s">
        <v>769</v>
      </c>
      <c r="X306" s="342">
        <f t="shared" si="4"/>
        <v>20</v>
      </c>
    </row>
    <row r="307" spans="1:24" ht="126" x14ac:dyDescent="0.3">
      <c r="A307" s="355" t="s">
        <v>416</v>
      </c>
      <c r="B307" s="354" t="s">
        <v>1853</v>
      </c>
      <c r="C307" s="342">
        <v>0</v>
      </c>
      <c r="D307" s="342">
        <v>0</v>
      </c>
      <c r="E307" s="342">
        <v>0</v>
      </c>
      <c r="F307" s="342">
        <v>0</v>
      </c>
      <c r="G307" s="342">
        <v>0</v>
      </c>
      <c r="H307" s="342">
        <v>0</v>
      </c>
      <c r="I307" s="342">
        <v>1</v>
      </c>
      <c r="J307" s="342">
        <v>0</v>
      </c>
      <c r="K307" s="342"/>
      <c r="L307" s="342" t="s">
        <v>682</v>
      </c>
      <c r="M307" s="342"/>
      <c r="N307" s="342" t="s">
        <v>1799</v>
      </c>
      <c r="O307" s="342"/>
      <c r="P307" s="342" t="s">
        <v>1854</v>
      </c>
      <c r="Q307" s="342" t="s">
        <v>1855</v>
      </c>
      <c r="R307" s="342"/>
      <c r="S307" s="342" t="s">
        <v>1856</v>
      </c>
      <c r="T307" s="342" t="s">
        <v>1857</v>
      </c>
      <c r="U307" s="342" t="s">
        <v>26</v>
      </c>
      <c r="V307" s="342" t="s">
        <v>699</v>
      </c>
      <c r="W307" s="342" t="s">
        <v>769</v>
      </c>
      <c r="X307" s="342">
        <f t="shared" si="4"/>
        <v>20</v>
      </c>
    </row>
    <row r="308" spans="1:24" ht="154" x14ac:dyDescent="0.3">
      <c r="A308" s="221" t="s">
        <v>418</v>
      </c>
      <c r="B308" s="342" t="s">
        <v>1858</v>
      </c>
      <c r="C308" s="342">
        <v>0</v>
      </c>
      <c r="D308" s="342">
        <v>0</v>
      </c>
      <c r="E308" s="342">
        <v>0</v>
      </c>
      <c r="F308" s="342">
        <v>0</v>
      </c>
      <c r="G308" s="342">
        <v>0</v>
      </c>
      <c r="H308" s="342">
        <v>0</v>
      </c>
      <c r="I308" s="342">
        <v>1</v>
      </c>
      <c r="J308" s="342">
        <v>0</v>
      </c>
      <c r="K308" s="342"/>
      <c r="L308" s="342" t="s">
        <v>700</v>
      </c>
      <c r="M308" s="342"/>
      <c r="N308" s="342" t="s">
        <v>1799</v>
      </c>
      <c r="O308" s="342" t="s">
        <v>1859</v>
      </c>
      <c r="P308" s="342"/>
      <c r="Q308" s="342"/>
      <c r="R308" s="342"/>
      <c r="S308" s="342" t="s">
        <v>1860</v>
      </c>
      <c r="T308" s="342" t="s">
        <v>1861</v>
      </c>
      <c r="U308" s="342" t="s">
        <v>700</v>
      </c>
      <c r="V308" s="342" t="s">
        <v>699</v>
      </c>
      <c r="W308" s="342"/>
      <c r="X308" s="342"/>
    </row>
    <row r="309" spans="1:24" ht="112" x14ac:dyDescent="0.3">
      <c r="A309" s="221" t="s">
        <v>419</v>
      </c>
      <c r="B309" s="342" t="s">
        <v>1862</v>
      </c>
      <c r="C309" s="342">
        <v>0</v>
      </c>
      <c r="D309" s="342">
        <v>0</v>
      </c>
      <c r="E309" s="342">
        <v>0</v>
      </c>
      <c r="F309" s="342">
        <v>0</v>
      </c>
      <c r="G309" s="342">
        <v>0</v>
      </c>
      <c r="H309" s="342">
        <v>0</v>
      </c>
      <c r="I309" s="342">
        <v>1</v>
      </c>
      <c r="J309" s="342">
        <v>0</v>
      </c>
      <c r="K309" s="342"/>
      <c r="L309" s="342" t="s">
        <v>682</v>
      </c>
      <c r="M309" s="342"/>
      <c r="N309" s="342" t="s">
        <v>1799</v>
      </c>
      <c r="O309" s="342"/>
      <c r="P309" s="342" t="s">
        <v>1863</v>
      </c>
      <c r="Q309" s="342" t="s">
        <v>1864</v>
      </c>
      <c r="R309" s="342"/>
      <c r="S309" s="342" t="s">
        <v>1865</v>
      </c>
      <c r="T309" s="342" t="s">
        <v>1866</v>
      </c>
      <c r="U309" s="342" t="s">
        <v>26</v>
      </c>
      <c r="V309" s="342" t="s">
        <v>699</v>
      </c>
      <c r="W309" s="342" t="s">
        <v>718</v>
      </c>
      <c r="X309" s="342">
        <f t="shared" si="4"/>
        <v>10</v>
      </c>
    </row>
    <row r="310" spans="1:24" ht="112" x14ac:dyDescent="0.3">
      <c r="A310" s="355" t="s">
        <v>421</v>
      </c>
      <c r="B310" s="354" t="s">
        <v>1867</v>
      </c>
      <c r="C310" s="342">
        <v>0</v>
      </c>
      <c r="D310" s="342">
        <v>0</v>
      </c>
      <c r="E310" s="342">
        <v>0</v>
      </c>
      <c r="F310" s="342">
        <v>0</v>
      </c>
      <c r="G310" s="342">
        <v>0</v>
      </c>
      <c r="H310" s="342">
        <v>0</v>
      </c>
      <c r="I310" s="342">
        <v>1</v>
      </c>
      <c r="J310" s="342">
        <v>0</v>
      </c>
      <c r="K310" s="342"/>
      <c r="L310" s="342" t="s">
        <v>682</v>
      </c>
      <c r="M310" s="342"/>
      <c r="N310" s="342" t="s">
        <v>1799</v>
      </c>
      <c r="O310" s="342"/>
      <c r="P310" s="342" t="s">
        <v>1868</v>
      </c>
      <c r="Q310" s="342"/>
      <c r="R310" s="342"/>
      <c r="S310" s="342" t="s">
        <v>1869</v>
      </c>
      <c r="T310" s="342" t="s">
        <v>1870</v>
      </c>
      <c r="U310" s="342" t="s">
        <v>26</v>
      </c>
      <c r="V310" s="342" t="s">
        <v>699</v>
      </c>
      <c r="W310" s="342" t="s">
        <v>769</v>
      </c>
      <c r="X310" s="342">
        <f t="shared" si="4"/>
        <v>20</v>
      </c>
    </row>
    <row r="311" spans="1:24" ht="168" x14ac:dyDescent="0.3">
      <c r="A311" s="355" t="s">
        <v>423</v>
      </c>
      <c r="B311" s="354" t="s">
        <v>1871</v>
      </c>
      <c r="C311" s="342">
        <v>0</v>
      </c>
      <c r="D311" s="342">
        <v>0</v>
      </c>
      <c r="E311" s="342">
        <v>0</v>
      </c>
      <c r="F311" s="342">
        <v>0</v>
      </c>
      <c r="G311" s="342">
        <v>0</v>
      </c>
      <c r="H311" s="342">
        <v>0</v>
      </c>
      <c r="I311" s="342">
        <v>1</v>
      </c>
      <c r="J311" s="342">
        <v>0</v>
      </c>
      <c r="K311" s="342"/>
      <c r="L311" s="342" t="s">
        <v>682</v>
      </c>
      <c r="M311" s="342"/>
      <c r="N311" s="342" t="s">
        <v>1799</v>
      </c>
      <c r="O311" s="342"/>
      <c r="P311" s="342" t="s">
        <v>1872</v>
      </c>
      <c r="Q311" s="342" t="s">
        <v>1873</v>
      </c>
      <c r="R311" s="342"/>
      <c r="S311" s="342" t="s">
        <v>1874</v>
      </c>
      <c r="T311" s="342" t="s">
        <v>1875</v>
      </c>
      <c r="U311" s="342" t="s">
        <v>26</v>
      </c>
      <c r="V311" s="342" t="s">
        <v>699</v>
      </c>
      <c r="W311" s="342" t="s">
        <v>769</v>
      </c>
      <c r="X311" s="342">
        <f t="shared" si="4"/>
        <v>20</v>
      </c>
    </row>
    <row r="312" spans="1:24" ht="196" x14ac:dyDescent="0.3">
      <c r="A312" s="355" t="s">
        <v>425</v>
      </c>
      <c r="B312" s="354" t="s">
        <v>1876</v>
      </c>
      <c r="C312" s="342">
        <v>0</v>
      </c>
      <c r="D312" s="342">
        <v>0</v>
      </c>
      <c r="E312" s="342">
        <v>0</v>
      </c>
      <c r="F312" s="342">
        <v>0</v>
      </c>
      <c r="G312" s="342">
        <v>0</v>
      </c>
      <c r="H312" s="342">
        <v>0</v>
      </c>
      <c r="I312" s="342">
        <v>1</v>
      </c>
      <c r="J312" s="342">
        <v>0</v>
      </c>
      <c r="K312" s="342"/>
      <c r="L312" s="342" t="s">
        <v>682</v>
      </c>
      <c r="M312" s="342"/>
      <c r="N312" s="342" t="s">
        <v>1799</v>
      </c>
      <c r="O312" s="342"/>
      <c r="P312" s="342" t="s">
        <v>1877</v>
      </c>
      <c r="Q312" s="342" t="s">
        <v>1878</v>
      </c>
      <c r="R312" s="342"/>
      <c r="S312" s="342" t="s">
        <v>1879</v>
      </c>
      <c r="T312" s="342" t="s">
        <v>1880</v>
      </c>
      <c r="U312" s="342" t="s">
        <v>26</v>
      </c>
      <c r="V312" s="342" t="s">
        <v>699</v>
      </c>
      <c r="W312" s="342" t="s">
        <v>769</v>
      </c>
      <c r="X312" s="342">
        <f t="shared" si="4"/>
        <v>20</v>
      </c>
    </row>
    <row r="313" spans="1:24" ht="98" x14ac:dyDescent="0.3">
      <c r="A313" s="355" t="s">
        <v>427</v>
      </c>
      <c r="B313" s="354" t="s">
        <v>1881</v>
      </c>
      <c r="C313" s="342">
        <v>0</v>
      </c>
      <c r="D313" s="342">
        <v>0</v>
      </c>
      <c r="E313" s="342">
        <v>0</v>
      </c>
      <c r="F313" s="342">
        <v>0</v>
      </c>
      <c r="G313" s="342">
        <v>0</v>
      </c>
      <c r="H313" s="342">
        <v>0</v>
      </c>
      <c r="I313" s="342">
        <v>1</v>
      </c>
      <c r="J313" s="342">
        <v>0</v>
      </c>
      <c r="K313" s="342"/>
      <c r="L313" s="342" t="s">
        <v>682</v>
      </c>
      <c r="M313" s="342"/>
      <c r="N313" s="342" t="s">
        <v>1799</v>
      </c>
      <c r="O313" s="342"/>
      <c r="P313" s="342" t="s">
        <v>1882</v>
      </c>
      <c r="Q313" s="342" t="s">
        <v>1883</v>
      </c>
      <c r="R313" s="342" t="s">
        <v>895</v>
      </c>
      <c r="S313" s="342" t="s">
        <v>1884</v>
      </c>
      <c r="T313" s="342"/>
      <c r="U313" s="342" t="s">
        <v>26</v>
      </c>
      <c r="V313" s="342" t="s">
        <v>699</v>
      </c>
      <c r="W313" s="342" t="s">
        <v>769</v>
      </c>
      <c r="X313" s="342">
        <f t="shared" si="4"/>
        <v>20</v>
      </c>
    </row>
    <row r="314" spans="1:24" ht="182" x14ac:dyDescent="0.3">
      <c r="A314" s="221" t="s">
        <v>429</v>
      </c>
      <c r="B314" s="342" t="s">
        <v>1885</v>
      </c>
      <c r="C314" s="342">
        <v>0</v>
      </c>
      <c r="D314" s="342">
        <v>0</v>
      </c>
      <c r="E314" s="342">
        <v>0</v>
      </c>
      <c r="F314" s="342">
        <v>0</v>
      </c>
      <c r="G314" s="342">
        <v>0</v>
      </c>
      <c r="H314" s="342">
        <v>0</v>
      </c>
      <c r="I314" s="342">
        <v>1</v>
      </c>
      <c r="J314" s="342">
        <v>0</v>
      </c>
      <c r="K314" s="342"/>
      <c r="L314" s="342" t="s">
        <v>682</v>
      </c>
      <c r="M314" s="342"/>
      <c r="N314" s="342" t="s">
        <v>1799</v>
      </c>
      <c r="O314" s="342" t="s">
        <v>1886</v>
      </c>
      <c r="P314" s="342" t="s">
        <v>1887</v>
      </c>
      <c r="Q314" s="342"/>
      <c r="R314" s="342"/>
      <c r="S314" s="342" t="s">
        <v>1888</v>
      </c>
      <c r="T314" s="342" t="s">
        <v>1889</v>
      </c>
      <c r="U314" s="342" t="s">
        <v>26</v>
      </c>
      <c r="V314" s="342" t="s">
        <v>699</v>
      </c>
      <c r="W314" s="342" t="s">
        <v>727</v>
      </c>
      <c r="X314" s="342">
        <f t="shared" si="4"/>
        <v>5</v>
      </c>
    </row>
    <row r="315" spans="1:24" ht="280" x14ac:dyDescent="0.3">
      <c r="A315" s="355" t="s">
        <v>431</v>
      </c>
      <c r="B315" s="354" t="s">
        <v>1890</v>
      </c>
      <c r="C315" s="342">
        <v>0</v>
      </c>
      <c r="D315" s="342">
        <v>0</v>
      </c>
      <c r="E315" s="342">
        <v>0</v>
      </c>
      <c r="F315" s="342">
        <v>0</v>
      </c>
      <c r="G315" s="342">
        <v>0</v>
      </c>
      <c r="H315" s="342">
        <v>0</v>
      </c>
      <c r="I315" s="342">
        <v>1</v>
      </c>
      <c r="J315" s="342">
        <v>0</v>
      </c>
      <c r="K315" s="342"/>
      <c r="L315" s="342" t="s">
        <v>682</v>
      </c>
      <c r="M315" s="342"/>
      <c r="N315" s="342" t="s">
        <v>1799</v>
      </c>
      <c r="O315" s="342" t="s">
        <v>1891</v>
      </c>
      <c r="P315" s="342" t="s">
        <v>1892</v>
      </c>
      <c r="Q315" s="342" t="s">
        <v>1893</v>
      </c>
      <c r="R315" s="342"/>
      <c r="S315" s="342" t="s">
        <v>1894</v>
      </c>
      <c r="T315" s="342" t="s">
        <v>1895</v>
      </c>
      <c r="U315" s="342" t="s">
        <v>26</v>
      </c>
      <c r="V315" s="342" t="s">
        <v>699</v>
      </c>
      <c r="W315" s="342" t="s">
        <v>769</v>
      </c>
      <c r="X315" s="342">
        <f t="shared" si="4"/>
        <v>20</v>
      </c>
    </row>
    <row r="316" spans="1:24" ht="294" x14ac:dyDescent="0.3">
      <c r="A316" s="355" t="s">
        <v>433</v>
      </c>
      <c r="B316" s="354" t="s">
        <v>1896</v>
      </c>
      <c r="C316" s="342">
        <v>0</v>
      </c>
      <c r="D316" s="342">
        <v>0</v>
      </c>
      <c r="E316" s="342">
        <v>0</v>
      </c>
      <c r="F316" s="342">
        <v>0</v>
      </c>
      <c r="G316" s="342">
        <v>0</v>
      </c>
      <c r="H316" s="342">
        <v>0</v>
      </c>
      <c r="I316" s="342">
        <v>1</v>
      </c>
      <c r="J316" s="342">
        <v>0</v>
      </c>
      <c r="K316" s="342"/>
      <c r="L316" s="342" t="s">
        <v>682</v>
      </c>
      <c r="M316" s="342"/>
      <c r="N316" s="342" t="s">
        <v>1799</v>
      </c>
      <c r="O316" s="342" t="s">
        <v>1897</v>
      </c>
      <c r="P316" s="342" t="s">
        <v>1898</v>
      </c>
      <c r="Q316" s="342" t="s">
        <v>1899</v>
      </c>
      <c r="R316" s="342"/>
      <c r="S316" s="342" t="s">
        <v>1900</v>
      </c>
      <c r="T316" s="342" t="s">
        <v>1901</v>
      </c>
      <c r="U316" s="342" t="s">
        <v>46</v>
      </c>
      <c r="V316" s="342" t="s">
        <v>699</v>
      </c>
      <c r="W316" s="342" t="s">
        <v>769</v>
      </c>
      <c r="X316" s="342">
        <f t="shared" si="4"/>
        <v>20</v>
      </c>
    </row>
    <row r="317" spans="1:24" ht="210" x14ac:dyDescent="0.3">
      <c r="A317" s="355" t="s">
        <v>435</v>
      </c>
      <c r="B317" s="354" t="s">
        <v>1902</v>
      </c>
      <c r="C317" s="342">
        <v>0</v>
      </c>
      <c r="D317" s="342">
        <v>0</v>
      </c>
      <c r="E317" s="342">
        <v>0</v>
      </c>
      <c r="F317" s="342">
        <v>0</v>
      </c>
      <c r="G317" s="342">
        <v>0</v>
      </c>
      <c r="H317" s="342">
        <v>0</v>
      </c>
      <c r="I317" s="342">
        <v>1</v>
      </c>
      <c r="J317" s="342">
        <v>0</v>
      </c>
      <c r="K317" s="342"/>
      <c r="L317" s="342" t="s">
        <v>682</v>
      </c>
      <c r="M317" s="342"/>
      <c r="N317" s="342" t="s">
        <v>1799</v>
      </c>
      <c r="O317" s="342" t="s">
        <v>1903</v>
      </c>
      <c r="P317" s="342" t="s">
        <v>1904</v>
      </c>
      <c r="Q317" s="342" t="s">
        <v>1905</v>
      </c>
      <c r="R317" s="342"/>
      <c r="S317" s="342" t="s">
        <v>1906</v>
      </c>
      <c r="T317" s="342" t="s">
        <v>1907</v>
      </c>
      <c r="U317" s="342" t="s">
        <v>26</v>
      </c>
      <c r="V317" s="342" t="s">
        <v>699</v>
      </c>
      <c r="W317" s="342" t="s">
        <v>769</v>
      </c>
      <c r="X317" s="342">
        <f t="shared" si="4"/>
        <v>20</v>
      </c>
    </row>
    <row r="318" spans="1:24" ht="196" x14ac:dyDescent="0.3">
      <c r="A318" s="221" t="s">
        <v>437</v>
      </c>
      <c r="B318" s="342" t="s">
        <v>1908</v>
      </c>
      <c r="C318" s="342">
        <v>0</v>
      </c>
      <c r="D318" s="342">
        <v>0</v>
      </c>
      <c r="E318" s="342">
        <v>0</v>
      </c>
      <c r="F318" s="342">
        <v>0</v>
      </c>
      <c r="G318" s="342">
        <v>0</v>
      </c>
      <c r="H318" s="342">
        <v>0</v>
      </c>
      <c r="I318" s="342">
        <v>1</v>
      </c>
      <c r="J318" s="342">
        <v>0</v>
      </c>
      <c r="K318" s="342"/>
      <c r="L318" s="342" t="s">
        <v>700</v>
      </c>
      <c r="M318" s="342"/>
      <c r="N318" s="342" t="s">
        <v>1799</v>
      </c>
      <c r="O318" s="342" t="s">
        <v>1909</v>
      </c>
      <c r="P318" s="342"/>
      <c r="Q318" s="342"/>
      <c r="R318" s="342"/>
      <c r="S318" s="342" t="s">
        <v>1910</v>
      </c>
      <c r="T318" s="342" t="s">
        <v>1911</v>
      </c>
      <c r="U318" s="342" t="s">
        <v>700</v>
      </c>
      <c r="V318" s="342" t="s">
        <v>699</v>
      </c>
      <c r="W318" s="342"/>
      <c r="X318" s="342"/>
    </row>
    <row r="319" spans="1:24" ht="224" x14ac:dyDescent="0.3">
      <c r="A319" s="221" t="s">
        <v>439</v>
      </c>
      <c r="B319" s="342" t="s">
        <v>1912</v>
      </c>
      <c r="C319" s="342">
        <v>0</v>
      </c>
      <c r="D319" s="342">
        <v>0</v>
      </c>
      <c r="E319" s="342">
        <v>0</v>
      </c>
      <c r="F319" s="342">
        <v>0</v>
      </c>
      <c r="G319" s="342">
        <v>0</v>
      </c>
      <c r="H319" s="342">
        <v>0</v>
      </c>
      <c r="I319" s="342">
        <v>1</v>
      </c>
      <c r="J319" s="342">
        <v>0</v>
      </c>
      <c r="K319" s="342"/>
      <c r="L319" s="342" t="s">
        <v>682</v>
      </c>
      <c r="M319" s="342"/>
      <c r="N319" s="342" t="s">
        <v>1799</v>
      </c>
      <c r="O319" s="342"/>
      <c r="P319" s="342" t="s">
        <v>1913</v>
      </c>
      <c r="Q319" s="342" t="s">
        <v>1914</v>
      </c>
      <c r="R319" s="342"/>
      <c r="S319" s="342" t="s">
        <v>1915</v>
      </c>
      <c r="T319" s="342" t="s">
        <v>1916</v>
      </c>
      <c r="U319" s="342" t="s">
        <v>26</v>
      </c>
      <c r="V319" s="342" t="s">
        <v>699</v>
      </c>
      <c r="W319" s="342" t="s">
        <v>718</v>
      </c>
      <c r="X319" s="342">
        <f t="shared" ref="X319:X334" si="5">IF($W319="Critical Importance",20,IF($W319="Minor Importance",5,10))</f>
        <v>10</v>
      </c>
    </row>
    <row r="320" spans="1:24" ht="336" x14ac:dyDescent="0.3">
      <c r="A320" s="355" t="s">
        <v>440</v>
      </c>
      <c r="B320" s="354" t="s">
        <v>1917</v>
      </c>
      <c r="C320" s="342">
        <v>0</v>
      </c>
      <c r="D320" s="342">
        <v>0</v>
      </c>
      <c r="E320" s="342">
        <v>0</v>
      </c>
      <c r="F320" s="342">
        <v>0</v>
      </c>
      <c r="G320" s="342">
        <v>0</v>
      </c>
      <c r="H320" s="342">
        <v>0</v>
      </c>
      <c r="I320" s="342">
        <v>1</v>
      </c>
      <c r="J320" s="342">
        <v>0</v>
      </c>
      <c r="K320" s="342"/>
      <c r="L320" s="342" t="s">
        <v>682</v>
      </c>
      <c r="M320" s="342"/>
      <c r="N320" s="342" t="s">
        <v>1918</v>
      </c>
      <c r="O320" s="342" t="s">
        <v>1919</v>
      </c>
      <c r="P320" s="342" t="s">
        <v>1920</v>
      </c>
      <c r="Q320" s="342" t="s">
        <v>1921</v>
      </c>
      <c r="R320" s="342"/>
      <c r="S320" s="342" t="s">
        <v>1922</v>
      </c>
      <c r="T320" s="342" t="s">
        <v>1923</v>
      </c>
      <c r="U320" s="342" t="s">
        <v>26</v>
      </c>
      <c r="V320" s="342" t="s">
        <v>699</v>
      </c>
      <c r="W320" s="342" t="s">
        <v>769</v>
      </c>
      <c r="X320" s="342">
        <f t="shared" si="5"/>
        <v>20</v>
      </c>
    </row>
    <row r="321" spans="1:24" ht="126" x14ac:dyDescent="0.3">
      <c r="A321" s="355" t="s">
        <v>442</v>
      </c>
      <c r="B321" s="354" t="s">
        <v>1924</v>
      </c>
      <c r="C321" s="342">
        <v>0</v>
      </c>
      <c r="D321" s="342">
        <v>0</v>
      </c>
      <c r="E321" s="342">
        <v>0</v>
      </c>
      <c r="F321" s="342">
        <v>0</v>
      </c>
      <c r="G321" s="342">
        <v>0</v>
      </c>
      <c r="H321" s="342">
        <v>0</v>
      </c>
      <c r="I321" s="342">
        <v>1</v>
      </c>
      <c r="J321" s="342">
        <v>0</v>
      </c>
      <c r="K321" s="342"/>
      <c r="L321" s="342" t="s">
        <v>682</v>
      </c>
      <c r="M321" s="342"/>
      <c r="N321" s="342" t="s">
        <v>1918</v>
      </c>
      <c r="O321" s="342"/>
      <c r="P321" s="342" t="s">
        <v>1925</v>
      </c>
      <c r="Q321" s="342" t="s">
        <v>1926</v>
      </c>
      <c r="R321" s="342"/>
      <c r="S321" s="342" t="s">
        <v>1927</v>
      </c>
      <c r="T321" s="342" t="s">
        <v>1928</v>
      </c>
      <c r="U321" s="342" t="s">
        <v>26</v>
      </c>
      <c r="V321" s="342" t="s">
        <v>699</v>
      </c>
      <c r="W321" s="342" t="s">
        <v>769</v>
      </c>
      <c r="X321" s="342">
        <f t="shared" si="5"/>
        <v>20</v>
      </c>
    </row>
    <row r="322" spans="1:24" ht="144.75" customHeight="1" x14ac:dyDescent="0.3">
      <c r="A322" s="221" t="s">
        <v>444</v>
      </c>
      <c r="B322" s="342" t="s">
        <v>1929</v>
      </c>
      <c r="C322" s="342">
        <v>0</v>
      </c>
      <c r="D322" s="342">
        <v>0</v>
      </c>
      <c r="E322" s="342">
        <v>0</v>
      </c>
      <c r="F322" s="342">
        <v>0</v>
      </c>
      <c r="G322" s="342">
        <v>0</v>
      </c>
      <c r="H322" s="342">
        <v>0</v>
      </c>
      <c r="I322" s="342">
        <v>1</v>
      </c>
      <c r="J322" s="342">
        <v>0</v>
      </c>
      <c r="K322" s="342"/>
      <c r="L322" s="342" t="s">
        <v>682</v>
      </c>
      <c r="M322" s="342"/>
      <c r="N322" s="342" t="s">
        <v>1918</v>
      </c>
      <c r="O322" s="342"/>
      <c r="P322" s="342" t="s">
        <v>1930</v>
      </c>
      <c r="Q322" s="342" t="s">
        <v>1931</v>
      </c>
      <c r="R322" s="342"/>
      <c r="S322" s="342" t="s">
        <v>1932</v>
      </c>
      <c r="T322" s="342" t="s">
        <v>1933</v>
      </c>
      <c r="U322" s="342" t="s">
        <v>26</v>
      </c>
      <c r="V322" s="342" t="s">
        <v>699</v>
      </c>
      <c r="W322" s="342" t="s">
        <v>718</v>
      </c>
      <c r="X322" s="342">
        <f t="shared" si="5"/>
        <v>10</v>
      </c>
    </row>
    <row r="323" spans="1:24" ht="90" customHeight="1" x14ac:dyDescent="0.3">
      <c r="A323" s="221" t="s">
        <v>446</v>
      </c>
      <c r="B323" s="342" t="s">
        <v>1934</v>
      </c>
      <c r="C323" s="342">
        <v>0</v>
      </c>
      <c r="D323" s="342">
        <v>0</v>
      </c>
      <c r="E323" s="342">
        <v>0</v>
      </c>
      <c r="F323" s="342">
        <v>0</v>
      </c>
      <c r="G323" s="342">
        <v>0</v>
      </c>
      <c r="H323" s="342">
        <v>0</v>
      </c>
      <c r="I323" s="342">
        <v>1</v>
      </c>
      <c r="J323" s="342">
        <v>0</v>
      </c>
      <c r="K323" s="342"/>
      <c r="L323" s="342" t="s">
        <v>682</v>
      </c>
      <c r="M323" s="342"/>
      <c r="N323" s="342" t="s">
        <v>1918</v>
      </c>
      <c r="O323" s="342"/>
      <c r="P323" s="342" t="s">
        <v>1935</v>
      </c>
      <c r="Q323" s="342" t="s">
        <v>1936</v>
      </c>
      <c r="R323" s="342"/>
      <c r="S323" s="342" t="s">
        <v>1937</v>
      </c>
      <c r="T323" s="342" t="s">
        <v>1938</v>
      </c>
      <c r="U323" s="342" t="s">
        <v>26</v>
      </c>
      <c r="V323" s="342" t="s">
        <v>699</v>
      </c>
      <c r="W323" s="342" t="s">
        <v>718</v>
      </c>
      <c r="X323" s="342">
        <f t="shared" si="5"/>
        <v>10</v>
      </c>
    </row>
    <row r="324" spans="1:24" ht="90" customHeight="1" x14ac:dyDescent="0.3">
      <c r="A324" s="221" t="s">
        <v>448</v>
      </c>
      <c r="B324" s="342" t="s">
        <v>1939</v>
      </c>
      <c r="C324" s="342">
        <v>0</v>
      </c>
      <c r="D324" s="342">
        <v>0</v>
      </c>
      <c r="E324" s="342">
        <v>0</v>
      </c>
      <c r="F324" s="342">
        <v>0</v>
      </c>
      <c r="G324" s="342">
        <v>0</v>
      </c>
      <c r="H324" s="342">
        <v>0</v>
      </c>
      <c r="I324" s="342">
        <v>1</v>
      </c>
      <c r="J324" s="342">
        <v>0</v>
      </c>
      <c r="K324" s="342"/>
      <c r="L324" s="342" t="s">
        <v>682</v>
      </c>
      <c r="M324" s="342"/>
      <c r="N324" s="342" t="s">
        <v>1918</v>
      </c>
      <c r="O324" s="342"/>
      <c r="P324" s="342" t="s">
        <v>1940</v>
      </c>
      <c r="Q324" s="342" t="s">
        <v>1941</v>
      </c>
      <c r="R324" s="342"/>
      <c r="S324" s="342" t="s">
        <v>1937</v>
      </c>
      <c r="T324" s="342"/>
      <c r="U324" s="342" t="s">
        <v>26</v>
      </c>
      <c r="V324" s="342" t="s">
        <v>699</v>
      </c>
      <c r="W324" s="342" t="s">
        <v>727</v>
      </c>
      <c r="X324" s="342">
        <f t="shared" si="5"/>
        <v>5</v>
      </c>
    </row>
    <row r="325" spans="1:24" ht="90" customHeight="1" x14ac:dyDescent="0.3">
      <c r="A325" s="221" t="s">
        <v>450</v>
      </c>
      <c r="B325" s="342" t="s">
        <v>1942</v>
      </c>
      <c r="C325" s="342">
        <v>0</v>
      </c>
      <c r="D325" s="342">
        <v>0</v>
      </c>
      <c r="E325" s="342">
        <v>0</v>
      </c>
      <c r="F325" s="342">
        <v>0</v>
      </c>
      <c r="G325" s="342">
        <v>0</v>
      </c>
      <c r="H325" s="342">
        <v>0</v>
      </c>
      <c r="I325" s="342">
        <v>1</v>
      </c>
      <c r="J325" s="342">
        <v>0</v>
      </c>
      <c r="K325" s="342"/>
      <c r="L325" s="342" t="s">
        <v>682</v>
      </c>
      <c r="M325" s="342"/>
      <c r="N325" s="342" t="s">
        <v>1918</v>
      </c>
      <c r="O325" s="342"/>
      <c r="P325" s="342" t="s">
        <v>1943</v>
      </c>
      <c r="Q325" s="342" t="s">
        <v>1944</v>
      </c>
      <c r="R325" s="342"/>
      <c r="S325" s="342" t="s">
        <v>1945</v>
      </c>
      <c r="T325" s="342" t="s">
        <v>1946</v>
      </c>
      <c r="U325" s="342" t="s">
        <v>26</v>
      </c>
      <c r="V325" s="342" t="s">
        <v>699</v>
      </c>
      <c r="W325" s="342" t="s">
        <v>727</v>
      </c>
      <c r="X325" s="342">
        <f t="shared" si="5"/>
        <v>5</v>
      </c>
    </row>
    <row r="326" spans="1:24" ht="112" x14ac:dyDescent="0.3">
      <c r="A326" s="221" t="s">
        <v>452</v>
      </c>
      <c r="B326" s="342" t="s">
        <v>1947</v>
      </c>
      <c r="C326" s="342">
        <v>0</v>
      </c>
      <c r="D326" s="342">
        <v>0</v>
      </c>
      <c r="E326" s="342">
        <v>0</v>
      </c>
      <c r="F326" s="342">
        <v>0</v>
      </c>
      <c r="G326" s="342">
        <v>0</v>
      </c>
      <c r="H326" s="342">
        <v>0</v>
      </c>
      <c r="I326" s="342">
        <v>1</v>
      </c>
      <c r="J326" s="342">
        <v>0</v>
      </c>
      <c r="K326" s="342"/>
      <c r="L326" s="342" t="s">
        <v>682</v>
      </c>
      <c r="M326" s="342"/>
      <c r="N326" s="342" t="s">
        <v>1918</v>
      </c>
      <c r="O326" s="342"/>
      <c r="P326" s="342" t="s">
        <v>1948</v>
      </c>
      <c r="Q326" s="342" t="s">
        <v>1949</v>
      </c>
      <c r="R326" s="342"/>
      <c r="S326" s="342" t="s">
        <v>1950</v>
      </c>
      <c r="T326" s="342" t="s">
        <v>1951</v>
      </c>
      <c r="U326" s="342" t="s">
        <v>26</v>
      </c>
      <c r="V326" s="342" t="s">
        <v>699</v>
      </c>
      <c r="W326" s="342" t="s">
        <v>727</v>
      </c>
      <c r="X326" s="342">
        <f t="shared" si="5"/>
        <v>5</v>
      </c>
    </row>
    <row r="327" spans="1:24" ht="90" customHeight="1" x14ac:dyDescent="0.3">
      <c r="A327" s="221" t="s">
        <v>453</v>
      </c>
      <c r="B327" s="342" t="s">
        <v>1952</v>
      </c>
      <c r="C327" s="342">
        <v>0</v>
      </c>
      <c r="D327" s="342">
        <v>0</v>
      </c>
      <c r="E327" s="342">
        <v>0</v>
      </c>
      <c r="F327" s="342">
        <v>0</v>
      </c>
      <c r="G327" s="342">
        <v>0</v>
      </c>
      <c r="H327" s="342">
        <v>0</v>
      </c>
      <c r="I327" s="342">
        <v>1</v>
      </c>
      <c r="J327" s="342">
        <v>0</v>
      </c>
      <c r="K327" s="342"/>
      <c r="L327" s="342" t="s">
        <v>682</v>
      </c>
      <c r="M327" s="342"/>
      <c r="N327" s="342" t="s">
        <v>1918</v>
      </c>
      <c r="O327" s="342"/>
      <c r="P327" s="342" t="s">
        <v>1953</v>
      </c>
      <c r="Q327" s="342" t="s">
        <v>1954</v>
      </c>
      <c r="R327" s="342"/>
      <c r="S327" s="342" t="s">
        <v>1955</v>
      </c>
      <c r="T327" s="342" t="s">
        <v>1956</v>
      </c>
      <c r="U327" s="342" t="s">
        <v>26</v>
      </c>
      <c r="V327" s="342" t="s">
        <v>699</v>
      </c>
      <c r="W327" s="342" t="s">
        <v>727</v>
      </c>
      <c r="X327" s="342">
        <f t="shared" si="5"/>
        <v>5</v>
      </c>
    </row>
    <row r="328" spans="1:24" ht="90" customHeight="1" x14ac:dyDescent="0.3">
      <c r="A328" s="355" t="s">
        <v>455</v>
      </c>
      <c r="B328" s="354" t="s">
        <v>1957</v>
      </c>
      <c r="C328" s="342">
        <v>0</v>
      </c>
      <c r="D328" s="342">
        <v>0</v>
      </c>
      <c r="E328" s="342">
        <v>0</v>
      </c>
      <c r="F328" s="342">
        <v>0</v>
      </c>
      <c r="G328" s="342">
        <v>0</v>
      </c>
      <c r="H328" s="342">
        <v>0</v>
      </c>
      <c r="I328" s="342">
        <v>1</v>
      </c>
      <c r="J328" s="342">
        <v>0</v>
      </c>
      <c r="K328" s="342"/>
      <c r="L328" s="342" t="s">
        <v>682</v>
      </c>
      <c r="M328" s="342"/>
      <c r="N328" s="342" t="s">
        <v>1918</v>
      </c>
      <c r="O328" s="342"/>
      <c r="P328" s="342" t="s">
        <v>1958</v>
      </c>
      <c r="Q328" s="342" t="s">
        <v>1959</v>
      </c>
      <c r="R328" s="342"/>
      <c r="S328" s="342" t="s">
        <v>1960</v>
      </c>
      <c r="T328" s="342" t="s">
        <v>1961</v>
      </c>
      <c r="U328" s="342" t="s">
        <v>26</v>
      </c>
      <c r="V328" s="342" t="s">
        <v>699</v>
      </c>
      <c r="W328" s="342" t="s">
        <v>769</v>
      </c>
      <c r="X328" s="342">
        <f t="shared" si="5"/>
        <v>20</v>
      </c>
    </row>
    <row r="329" spans="1:24" ht="168" x14ac:dyDescent="0.3">
      <c r="A329" s="355" t="s">
        <v>457</v>
      </c>
      <c r="B329" s="354" t="s">
        <v>1962</v>
      </c>
      <c r="C329" s="342">
        <v>0</v>
      </c>
      <c r="D329" s="342">
        <v>0</v>
      </c>
      <c r="E329" s="342">
        <v>0</v>
      </c>
      <c r="F329" s="342">
        <v>0</v>
      </c>
      <c r="G329" s="342">
        <v>0</v>
      </c>
      <c r="H329" s="342">
        <v>0</v>
      </c>
      <c r="I329" s="342">
        <v>1</v>
      </c>
      <c r="J329" s="342">
        <v>0</v>
      </c>
      <c r="K329" s="342"/>
      <c r="L329" s="342" t="s">
        <v>682</v>
      </c>
      <c r="M329" s="342"/>
      <c r="N329" s="342" t="s">
        <v>1963</v>
      </c>
      <c r="O329" s="342"/>
      <c r="P329" s="342" t="s">
        <v>1964</v>
      </c>
      <c r="Q329" s="342" t="s">
        <v>1965</v>
      </c>
      <c r="R329" s="342"/>
      <c r="S329" s="342" t="s">
        <v>1966</v>
      </c>
      <c r="T329" s="342" t="s">
        <v>1967</v>
      </c>
      <c r="U329" s="342" t="s">
        <v>26</v>
      </c>
      <c r="V329" s="342" t="s">
        <v>699</v>
      </c>
      <c r="W329" s="342" t="s">
        <v>769</v>
      </c>
      <c r="X329" s="342">
        <f t="shared" si="5"/>
        <v>20</v>
      </c>
    </row>
    <row r="330" spans="1:24" ht="90" customHeight="1" x14ac:dyDescent="0.3">
      <c r="A330" s="355" t="s">
        <v>458</v>
      </c>
      <c r="B330" s="354" t="s">
        <v>1968</v>
      </c>
      <c r="C330" s="342">
        <v>0</v>
      </c>
      <c r="D330" s="342">
        <v>0</v>
      </c>
      <c r="E330" s="342">
        <v>0</v>
      </c>
      <c r="F330" s="342">
        <v>0</v>
      </c>
      <c r="G330" s="342">
        <v>0</v>
      </c>
      <c r="H330" s="342">
        <v>0</v>
      </c>
      <c r="I330" s="342">
        <v>1</v>
      </c>
      <c r="J330" s="342">
        <v>0</v>
      </c>
      <c r="K330" s="342"/>
      <c r="L330" s="342" t="s">
        <v>682</v>
      </c>
      <c r="M330" s="342"/>
      <c r="N330" s="342" t="s">
        <v>1963</v>
      </c>
      <c r="O330" s="342"/>
      <c r="P330" s="342" t="s">
        <v>1969</v>
      </c>
      <c r="Q330" s="342" t="s">
        <v>1970</v>
      </c>
      <c r="R330" s="342"/>
      <c r="S330" s="342" t="s">
        <v>1971</v>
      </c>
      <c r="T330" s="342" t="s">
        <v>1972</v>
      </c>
      <c r="U330" s="342" t="s">
        <v>26</v>
      </c>
      <c r="V330" s="342" t="s">
        <v>699</v>
      </c>
      <c r="W330" s="342" t="s">
        <v>769</v>
      </c>
      <c r="X330" s="342">
        <f t="shared" si="5"/>
        <v>20</v>
      </c>
    </row>
    <row r="331" spans="1:24" ht="90" customHeight="1" x14ac:dyDescent="0.3">
      <c r="A331" s="355" t="s">
        <v>459</v>
      </c>
      <c r="B331" s="354" t="s">
        <v>1973</v>
      </c>
      <c r="C331" s="342">
        <v>0</v>
      </c>
      <c r="D331" s="342">
        <v>0</v>
      </c>
      <c r="E331" s="342">
        <v>0</v>
      </c>
      <c r="F331" s="342">
        <v>0</v>
      </c>
      <c r="G331" s="342">
        <v>0</v>
      </c>
      <c r="H331" s="342">
        <v>0</v>
      </c>
      <c r="I331" s="342">
        <v>1</v>
      </c>
      <c r="J331" s="342">
        <v>0</v>
      </c>
      <c r="K331" s="342"/>
      <c r="L331" s="342" t="s">
        <v>682</v>
      </c>
      <c r="M331" s="342"/>
      <c r="N331" s="342" t="s">
        <v>1974</v>
      </c>
      <c r="O331" s="342"/>
      <c r="P331" s="342" t="s">
        <v>1975</v>
      </c>
      <c r="Q331" s="342" t="s">
        <v>1976</v>
      </c>
      <c r="R331" s="342"/>
      <c r="S331" s="342" t="s">
        <v>1977</v>
      </c>
      <c r="T331" s="342" t="s">
        <v>1978</v>
      </c>
      <c r="U331" s="342" t="s">
        <v>26</v>
      </c>
      <c r="V331" s="342" t="s">
        <v>699</v>
      </c>
      <c r="W331" s="342" t="s">
        <v>769</v>
      </c>
      <c r="X331" s="342">
        <f t="shared" si="5"/>
        <v>20</v>
      </c>
    </row>
    <row r="332" spans="1:24" ht="90" customHeight="1" x14ac:dyDescent="0.3">
      <c r="A332" s="221" t="s">
        <v>460</v>
      </c>
      <c r="B332" s="342" t="s">
        <v>1979</v>
      </c>
      <c r="C332" s="342">
        <v>0</v>
      </c>
      <c r="D332" s="342">
        <v>0</v>
      </c>
      <c r="E332" s="342">
        <v>0</v>
      </c>
      <c r="F332" s="342">
        <v>0</v>
      </c>
      <c r="G332" s="342">
        <v>0</v>
      </c>
      <c r="H332" s="342">
        <v>0</v>
      </c>
      <c r="I332" s="342">
        <v>1</v>
      </c>
      <c r="J332" s="342">
        <v>0</v>
      </c>
      <c r="K332" s="342"/>
      <c r="L332" s="342" t="s">
        <v>682</v>
      </c>
      <c r="M332" s="342"/>
      <c r="N332" s="342" t="s">
        <v>1963</v>
      </c>
      <c r="O332" s="342"/>
      <c r="P332" s="342" t="s">
        <v>1980</v>
      </c>
      <c r="Q332" s="342" t="s">
        <v>1981</v>
      </c>
      <c r="R332" s="342"/>
      <c r="S332" s="342" t="s">
        <v>1982</v>
      </c>
      <c r="T332" s="342" t="s">
        <v>1983</v>
      </c>
      <c r="U332" s="342" t="s">
        <v>26</v>
      </c>
      <c r="V332" s="342" t="s">
        <v>699</v>
      </c>
      <c r="W332" s="342" t="s">
        <v>718</v>
      </c>
      <c r="X332" s="342">
        <f t="shared" si="5"/>
        <v>10</v>
      </c>
    </row>
    <row r="333" spans="1:24" ht="90" customHeight="1" x14ac:dyDescent="0.3">
      <c r="A333" s="221" t="s">
        <v>461</v>
      </c>
      <c r="B333" s="342" t="s">
        <v>1984</v>
      </c>
      <c r="C333" s="342">
        <v>0</v>
      </c>
      <c r="D333" s="342">
        <v>0</v>
      </c>
      <c r="E333" s="342">
        <v>0</v>
      </c>
      <c r="F333" s="342">
        <v>0</v>
      </c>
      <c r="G333" s="342">
        <v>0</v>
      </c>
      <c r="H333" s="342">
        <v>0</v>
      </c>
      <c r="I333" s="342">
        <v>1</v>
      </c>
      <c r="J333" s="342">
        <v>0</v>
      </c>
      <c r="K333" s="342"/>
      <c r="L333" s="342" t="s">
        <v>682</v>
      </c>
      <c r="M333" s="342"/>
      <c r="N333" s="342" t="s">
        <v>1963</v>
      </c>
      <c r="O333" s="342"/>
      <c r="P333" s="342" t="s">
        <v>1985</v>
      </c>
      <c r="Q333" s="342" t="s">
        <v>1986</v>
      </c>
      <c r="R333" s="342"/>
      <c r="S333" s="342" t="s">
        <v>1987</v>
      </c>
      <c r="T333" s="342" t="s">
        <v>1988</v>
      </c>
      <c r="U333" s="342" t="s">
        <v>26</v>
      </c>
      <c r="V333" s="342" t="s">
        <v>699</v>
      </c>
      <c r="W333" s="342" t="s">
        <v>718</v>
      </c>
      <c r="X333" s="342">
        <f t="shared" si="5"/>
        <v>10</v>
      </c>
    </row>
    <row r="334" spans="1:24" ht="90" customHeight="1" x14ac:dyDescent="0.3">
      <c r="A334" s="221" t="s">
        <v>1989</v>
      </c>
      <c r="B334" s="342" t="s">
        <v>1990</v>
      </c>
      <c r="C334" s="342">
        <v>0</v>
      </c>
      <c r="D334" s="342">
        <v>0</v>
      </c>
      <c r="E334" s="342">
        <v>0</v>
      </c>
      <c r="F334" s="342">
        <v>0</v>
      </c>
      <c r="G334" s="342">
        <v>0</v>
      </c>
      <c r="H334" s="342">
        <v>0</v>
      </c>
      <c r="I334" s="342">
        <v>1</v>
      </c>
      <c r="J334" s="342">
        <v>0</v>
      </c>
      <c r="K334" s="342"/>
      <c r="L334" s="342" t="s">
        <v>682</v>
      </c>
      <c r="M334" s="342" t="s">
        <v>699</v>
      </c>
      <c r="N334" s="342" t="s">
        <v>1963</v>
      </c>
      <c r="O334" s="342" t="s">
        <v>1991</v>
      </c>
      <c r="P334" s="342" t="s">
        <v>699</v>
      </c>
      <c r="Q334" s="342" t="s">
        <v>699</v>
      </c>
      <c r="R334" s="342"/>
      <c r="S334" s="342" t="s">
        <v>699</v>
      </c>
      <c r="T334" s="342" t="s">
        <v>699</v>
      </c>
      <c r="U334" s="342" t="s">
        <v>26</v>
      </c>
      <c r="V334" s="342" t="s">
        <v>699</v>
      </c>
      <c r="W334" s="342" t="s">
        <v>727</v>
      </c>
      <c r="X334" s="342">
        <f t="shared" si="5"/>
        <v>5</v>
      </c>
    </row>
    <row r="335" spans="1:24" ht="14" x14ac:dyDescent="0.3">
      <c r="A335" s="221"/>
      <c r="B335" s="221"/>
      <c r="C335" s="221"/>
      <c r="D335" s="221"/>
      <c r="E335" s="221"/>
      <c r="F335" s="221"/>
      <c r="G335" s="221"/>
      <c r="H335" s="221"/>
      <c r="I335" s="221"/>
      <c r="J335" s="221"/>
      <c r="K335" s="221"/>
      <c r="L335" s="221"/>
      <c r="M335" s="221"/>
      <c r="N335" s="221"/>
      <c r="O335" s="221"/>
      <c r="P335" s="221"/>
      <c r="Q335" s="221"/>
      <c r="R335" s="221"/>
      <c r="S335" s="221"/>
      <c r="T335" s="221"/>
      <c r="U335" s="221"/>
      <c r="V335" s="221"/>
      <c r="W335" s="221"/>
      <c r="X335" s="221"/>
    </row>
    <row r="336" spans="1:24" ht="14" x14ac:dyDescent="0.3">
      <c r="A336" s="221"/>
      <c r="B336" s="221"/>
      <c r="C336" s="221"/>
      <c r="D336" s="221"/>
      <c r="E336" s="221"/>
      <c r="F336" s="221"/>
      <c r="G336" s="221"/>
      <c r="H336" s="221"/>
      <c r="I336" s="221"/>
      <c r="J336" s="221"/>
      <c r="K336" s="221"/>
      <c r="L336" s="221"/>
      <c r="M336" s="221"/>
      <c r="N336" s="221"/>
      <c r="O336" s="221"/>
      <c r="P336" s="221"/>
      <c r="Q336" s="221"/>
      <c r="R336" s="221"/>
      <c r="S336" s="221"/>
      <c r="T336" s="221"/>
      <c r="U336" s="221"/>
      <c r="V336" s="221"/>
      <c r="W336" s="221"/>
      <c r="X336" s="221"/>
    </row>
    <row r="337" spans="1:24" ht="14" x14ac:dyDescent="0.3">
      <c r="A337" s="221"/>
      <c r="B337" s="221"/>
      <c r="C337" s="221"/>
      <c r="D337" s="221"/>
      <c r="E337" s="221"/>
      <c r="F337" s="221"/>
      <c r="G337" s="221"/>
      <c r="H337" s="221"/>
      <c r="I337" s="221"/>
      <c r="J337" s="221"/>
      <c r="K337" s="221"/>
      <c r="L337" s="221"/>
      <c r="M337" s="221"/>
      <c r="N337" s="221"/>
      <c r="O337" s="221"/>
      <c r="P337" s="221"/>
      <c r="Q337" s="221"/>
      <c r="R337" s="221"/>
      <c r="S337" s="221"/>
      <c r="T337" s="221"/>
      <c r="U337" s="221"/>
      <c r="V337" s="221"/>
      <c r="W337" s="221"/>
      <c r="X337" s="221"/>
    </row>
    <row r="338" spans="1:24" ht="14" x14ac:dyDescent="0.3">
      <c r="A338" s="221"/>
      <c r="B338" s="221"/>
      <c r="C338" s="221"/>
      <c r="D338" s="221"/>
      <c r="E338" s="221"/>
      <c r="F338" s="221"/>
      <c r="G338" s="221"/>
      <c r="H338" s="221"/>
      <c r="I338" s="221"/>
      <c r="J338" s="221"/>
      <c r="K338" s="221"/>
      <c r="L338" s="221"/>
      <c r="M338" s="221"/>
      <c r="N338" s="221"/>
      <c r="O338" s="221"/>
      <c r="P338" s="221"/>
      <c r="Q338" s="221"/>
      <c r="R338" s="221"/>
      <c r="S338" s="221"/>
      <c r="T338" s="221"/>
      <c r="U338" s="221"/>
      <c r="V338" s="221"/>
      <c r="W338" s="221"/>
      <c r="X338" s="221"/>
    </row>
    <row r="339" spans="1:24" ht="14" x14ac:dyDescent="0.3">
      <c r="A339" s="221"/>
      <c r="B339" s="221"/>
      <c r="C339" s="221"/>
      <c r="D339" s="221"/>
      <c r="E339" s="221"/>
      <c r="F339" s="221"/>
      <c r="G339" s="221"/>
      <c r="H339" s="221"/>
      <c r="I339" s="221"/>
      <c r="J339" s="221"/>
      <c r="K339" s="221"/>
      <c r="L339" s="221"/>
      <c r="M339" s="221"/>
      <c r="N339" s="221"/>
      <c r="O339" s="221"/>
      <c r="P339" s="221"/>
      <c r="Q339" s="221"/>
      <c r="R339" s="221"/>
      <c r="S339" s="221"/>
      <c r="T339" s="221"/>
      <c r="U339" s="221"/>
      <c r="V339" s="221"/>
      <c r="W339" s="221"/>
      <c r="X339" s="221"/>
    </row>
    <row r="340" spans="1:24" ht="14" x14ac:dyDescent="0.3">
      <c r="A340" s="221"/>
      <c r="B340" s="221"/>
      <c r="C340" s="221"/>
      <c r="D340" s="221"/>
      <c r="E340" s="221"/>
      <c r="F340" s="221"/>
      <c r="G340" s="221"/>
      <c r="H340" s="221"/>
      <c r="I340" s="221"/>
      <c r="J340" s="221"/>
      <c r="K340" s="221"/>
      <c r="L340" s="221"/>
      <c r="M340" s="221"/>
      <c r="N340" s="221"/>
      <c r="O340" s="221"/>
      <c r="P340" s="221"/>
      <c r="Q340" s="221"/>
      <c r="R340" s="221"/>
      <c r="S340" s="221"/>
      <c r="T340" s="221"/>
      <c r="U340" s="221"/>
      <c r="V340" s="221"/>
      <c r="W340" s="221"/>
      <c r="X340" s="221"/>
    </row>
    <row r="341" spans="1:24" ht="14" x14ac:dyDescent="0.3">
      <c r="A341" s="221"/>
      <c r="B341" s="221"/>
      <c r="C341" s="221"/>
      <c r="D341" s="221"/>
      <c r="E341" s="221"/>
      <c r="F341" s="221"/>
      <c r="G341" s="221"/>
      <c r="H341" s="221"/>
      <c r="I341" s="221"/>
      <c r="J341" s="221"/>
      <c r="K341" s="221"/>
      <c r="L341" s="221"/>
      <c r="M341" s="221"/>
      <c r="N341" s="221"/>
      <c r="O341" s="221"/>
      <c r="P341" s="221"/>
      <c r="Q341" s="221"/>
      <c r="R341" s="221"/>
      <c r="S341" s="221"/>
      <c r="T341" s="221"/>
      <c r="U341" s="221"/>
      <c r="V341" s="221"/>
      <c r="W341" s="221"/>
      <c r="X341" s="221"/>
    </row>
    <row r="342" spans="1:24" ht="14" x14ac:dyDescent="0.3">
      <c r="A342" s="221"/>
      <c r="B342" s="221"/>
      <c r="C342" s="221"/>
      <c r="D342" s="221"/>
      <c r="E342" s="221"/>
      <c r="F342" s="221"/>
      <c r="G342" s="221"/>
      <c r="H342" s="221"/>
      <c r="I342" s="221"/>
      <c r="J342" s="221"/>
      <c r="K342" s="221"/>
      <c r="L342" s="221"/>
      <c r="M342" s="221"/>
      <c r="N342" s="221"/>
      <c r="O342" s="221"/>
      <c r="P342" s="221"/>
      <c r="Q342" s="221"/>
      <c r="R342" s="221"/>
      <c r="S342" s="221"/>
      <c r="T342" s="221"/>
      <c r="U342" s="221"/>
      <c r="V342" s="221"/>
      <c r="W342" s="221"/>
      <c r="X342" s="221"/>
    </row>
    <row r="343" spans="1:24" ht="14" x14ac:dyDescent="0.3">
      <c r="A343" s="221"/>
      <c r="B343" s="221"/>
      <c r="C343" s="221"/>
      <c r="D343" s="221"/>
      <c r="E343" s="221"/>
      <c r="F343" s="221"/>
      <c r="G343" s="221"/>
      <c r="H343" s="221"/>
      <c r="I343" s="221"/>
      <c r="J343" s="221"/>
      <c r="K343" s="221"/>
      <c r="L343" s="221"/>
      <c r="M343" s="221"/>
      <c r="N343" s="221"/>
      <c r="O343" s="221"/>
      <c r="P343" s="221"/>
      <c r="Q343" s="221"/>
      <c r="R343" s="221"/>
      <c r="S343" s="221"/>
      <c r="T343" s="221"/>
      <c r="U343" s="221"/>
      <c r="V343" s="221"/>
      <c r="W343" s="221"/>
      <c r="X343" s="221"/>
    </row>
    <row r="344" spans="1:24" ht="14" x14ac:dyDescent="0.3">
      <c r="A344" s="221"/>
      <c r="B344" s="221"/>
      <c r="C344" s="221"/>
      <c r="D344" s="221"/>
      <c r="E344" s="221"/>
      <c r="F344" s="221"/>
      <c r="G344" s="221"/>
      <c r="H344" s="221"/>
      <c r="I344" s="221"/>
      <c r="J344" s="221"/>
      <c r="K344" s="221"/>
      <c r="L344" s="221"/>
      <c r="M344" s="221"/>
      <c r="N344" s="221"/>
      <c r="O344" s="221"/>
      <c r="P344" s="221"/>
      <c r="Q344" s="221"/>
      <c r="R344" s="221"/>
      <c r="S344" s="221"/>
      <c r="T344" s="221"/>
      <c r="U344" s="221"/>
      <c r="V344" s="221"/>
      <c r="W344" s="221"/>
      <c r="X344" s="221"/>
    </row>
    <row r="345" spans="1:24" ht="14" x14ac:dyDescent="0.3">
      <c r="A345" s="221"/>
      <c r="B345" s="221"/>
      <c r="C345" s="221"/>
      <c r="D345" s="221"/>
      <c r="E345" s="221"/>
      <c r="F345" s="221"/>
      <c r="G345" s="221"/>
      <c r="H345" s="221"/>
      <c r="I345" s="221"/>
      <c r="J345" s="221"/>
      <c r="K345" s="221"/>
      <c r="L345" s="221"/>
      <c r="M345" s="221"/>
      <c r="N345" s="221"/>
      <c r="O345" s="221"/>
      <c r="P345" s="221"/>
      <c r="Q345" s="221"/>
      <c r="R345" s="221"/>
      <c r="S345" s="221"/>
      <c r="T345" s="221"/>
      <c r="U345" s="221"/>
      <c r="V345" s="221"/>
      <c r="W345" s="221"/>
      <c r="X345" s="221"/>
    </row>
    <row r="346" spans="1:24" ht="14" x14ac:dyDescent="0.3">
      <c r="A346" s="221"/>
      <c r="B346" s="221"/>
      <c r="C346" s="221"/>
      <c r="D346" s="221"/>
      <c r="E346" s="221"/>
      <c r="F346" s="221"/>
      <c r="G346" s="221"/>
      <c r="H346" s="221"/>
      <c r="I346" s="221"/>
      <c r="J346" s="221"/>
      <c r="K346" s="221"/>
      <c r="L346" s="221"/>
      <c r="M346" s="221"/>
      <c r="N346" s="221"/>
      <c r="O346" s="221"/>
      <c r="P346" s="221"/>
      <c r="Q346" s="221"/>
      <c r="R346" s="221"/>
      <c r="S346" s="221"/>
      <c r="T346" s="221"/>
      <c r="U346" s="221"/>
      <c r="V346" s="221"/>
      <c r="W346" s="221"/>
      <c r="X346" s="221"/>
    </row>
    <row r="347" spans="1:24" ht="14" x14ac:dyDescent="0.3">
      <c r="A347" s="221"/>
      <c r="B347" s="221"/>
      <c r="C347" s="221"/>
      <c r="D347" s="221"/>
      <c r="E347" s="221"/>
      <c r="F347" s="221"/>
      <c r="G347" s="221"/>
      <c r="H347" s="221"/>
      <c r="I347" s="221"/>
      <c r="J347" s="221"/>
      <c r="K347" s="221"/>
      <c r="L347" s="221"/>
      <c r="M347" s="221"/>
      <c r="N347" s="221"/>
      <c r="O347" s="221"/>
      <c r="P347" s="221"/>
      <c r="Q347" s="221"/>
      <c r="R347" s="221"/>
      <c r="S347" s="221"/>
      <c r="T347" s="221"/>
      <c r="U347" s="221"/>
      <c r="V347" s="221"/>
      <c r="W347" s="221"/>
      <c r="X347" s="221"/>
    </row>
    <row r="348" spans="1:24" ht="14" x14ac:dyDescent="0.3">
      <c r="A348" s="221"/>
      <c r="B348" s="221"/>
      <c r="C348" s="221"/>
      <c r="D348" s="221"/>
      <c r="E348" s="221"/>
      <c r="F348" s="221"/>
      <c r="G348" s="221"/>
      <c r="H348" s="221"/>
      <c r="I348" s="221"/>
      <c r="J348" s="221"/>
      <c r="K348" s="221"/>
      <c r="L348" s="221"/>
      <c r="M348" s="221"/>
      <c r="N348" s="221"/>
      <c r="O348" s="221"/>
      <c r="P348" s="221"/>
      <c r="Q348" s="221"/>
      <c r="R348" s="221"/>
      <c r="S348" s="221"/>
      <c r="T348" s="221"/>
      <c r="U348" s="221"/>
      <c r="V348" s="221"/>
      <c r="W348" s="221"/>
      <c r="X348" s="221"/>
    </row>
    <row r="349" spans="1:24" ht="14" x14ac:dyDescent="0.3">
      <c r="A349" s="221"/>
      <c r="B349" s="221"/>
      <c r="C349" s="221"/>
      <c r="D349" s="221"/>
      <c r="E349" s="221"/>
      <c r="F349" s="221"/>
      <c r="G349" s="221"/>
      <c r="H349" s="221"/>
      <c r="I349" s="221"/>
      <c r="J349" s="221"/>
      <c r="K349" s="221"/>
      <c r="L349" s="221"/>
      <c r="M349" s="221"/>
      <c r="N349" s="221"/>
      <c r="O349" s="221"/>
      <c r="P349" s="221"/>
      <c r="Q349" s="221"/>
      <c r="R349" s="221"/>
      <c r="S349" s="221"/>
      <c r="T349" s="221"/>
      <c r="U349" s="221"/>
      <c r="V349" s="221"/>
      <c r="W349" s="221"/>
      <c r="X349" s="221"/>
    </row>
    <row r="350" spans="1:24" ht="14" x14ac:dyDescent="0.3">
      <c r="A350" s="221"/>
      <c r="B350" s="221"/>
      <c r="C350" s="221"/>
      <c r="D350" s="221"/>
      <c r="E350" s="221"/>
      <c r="F350" s="221"/>
      <c r="G350" s="221"/>
      <c r="H350" s="221"/>
      <c r="I350" s="221"/>
      <c r="J350" s="221"/>
      <c r="K350" s="221"/>
      <c r="L350" s="221"/>
      <c r="M350" s="221"/>
      <c r="N350" s="221"/>
      <c r="O350" s="221"/>
      <c r="P350" s="221"/>
      <c r="Q350" s="221"/>
      <c r="R350" s="221"/>
      <c r="S350" s="221"/>
      <c r="T350" s="221"/>
      <c r="U350" s="221"/>
      <c r="V350" s="221"/>
      <c r="W350" s="221"/>
      <c r="X350" s="221"/>
    </row>
    <row r="351" spans="1:24" ht="14" x14ac:dyDescent="0.3">
      <c r="A351" s="221"/>
      <c r="B351" s="221"/>
      <c r="C351" s="221"/>
      <c r="D351" s="221"/>
      <c r="E351" s="221"/>
      <c r="F351" s="221"/>
      <c r="G351" s="221"/>
      <c r="H351" s="221"/>
      <c r="I351" s="221"/>
      <c r="J351" s="221"/>
      <c r="K351" s="221"/>
      <c r="L351" s="221"/>
      <c r="M351" s="221"/>
      <c r="N351" s="221"/>
      <c r="O351" s="221"/>
      <c r="P351" s="221"/>
      <c r="Q351" s="221"/>
      <c r="R351" s="221"/>
      <c r="S351" s="221"/>
      <c r="T351" s="221"/>
      <c r="U351" s="221"/>
      <c r="V351" s="221"/>
      <c r="W351" s="221"/>
      <c r="X351" s="221"/>
    </row>
    <row r="352" spans="1:24" ht="14" x14ac:dyDescent="0.3">
      <c r="A352" s="221"/>
      <c r="B352" s="221"/>
      <c r="C352" s="221"/>
      <c r="D352" s="221"/>
      <c r="E352" s="221"/>
      <c r="F352" s="221"/>
      <c r="G352" s="221"/>
      <c r="H352" s="221"/>
      <c r="I352" s="221"/>
      <c r="J352" s="221"/>
      <c r="K352" s="221"/>
      <c r="L352" s="221"/>
      <c r="M352" s="221"/>
      <c r="N352" s="221"/>
      <c r="O352" s="221"/>
      <c r="P352" s="221"/>
      <c r="Q352" s="221"/>
      <c r="R352" s="221"/>
      <c r="S352" s="221"/>
      <c r="T352" s="221"/>
      <c r="U352" s="221"/>
      <c r="V352" s="221"/>
      <c r="W352" s="221"/>
      <c r="X352" s="221"/>
    </row>
    <row r="353" spans="1:24" ht="14" x14ac:dyDescent="0.3">
      <c r="A353" s="221"/>
      <c r="B353" s="221"/>
      <c r="C353" s="221"/>
      <c r="D353" s="221"/>
      <c r="E353" s="221"/>
      <c r="F353" s="221"/>
      <c r="G353" s="221"/>
      <c r="H353" s="221"/>
      <c r="I353" s="221"/>
      <c r="J353" s="221"/>
      <c r="K353" s="221"/>
      <c r="L353" s="221"/>
      <c r="M353" s="221"/>
      <c r="N353" s="221"/>
      <c r="O353" s="221"/>
      <c r="P353" s="221"/>
      <c r="Q353" s="221"/>
      <c r="R353" s="221"/>
      <c r="S353" s="221"/>
      <c r="T353" s="221"/>
      <c r="U353" s="221"/>
      <c r="V353" s="221"/>
      <c r="W353" s="221"/>
      <c r="X353" s="221"/>
    </row>
    <row r="354" spans="1:24" ht="14" x14ac:dyDescent="0.3">
      <c r="A354" s="221"/>
      <c r="B354" s="221"/>
      <c r="C354" s="221"/>
      <c r="D354" s="221"/>
      <c r="E354" s="221"/>
      <c r="F354" s="221"/>
      <c r="G354" s="221"/>
      <c r="H354" s="221"/>
      <c r="I354" s="221"/>
      <c r="J354" s="221"/>
      <c r="K354" s="221"/>
      <c r="L354" s="221"/>
      <c r="M354" s="221"/>
      <c r="N354" s="221"/>
      <c r="O354" s="221"/>
      <c r="P354" s="221"/>
      <c r="Q354" s="221"/>
      <c r="R354" s="221"/>
      <c r="S354" s="221"/>
      <c r="T354" s="221"/>
      <c r="U354" s="221"/>
      <c r="V354" s="221"/>
      <c r="W354" s="221"/>
      <c r="X354" s="221"/>
    </row>
    <row r="355" spans="1:24" ht="14" x14ac:dyDescent="0.3">
      <c r="A355" s="221"/>
      <c r="B355" s="221"/>
      <c r="C355" s="221"/>
      <c r="D355" s="221"/>
      <c r="E355" s="221"/>
      <c r="F355" s="221"/>
      <c r="G355" s="221"/>
      <c r="H355" s="221"/>
      <c r="I355" s="221"/>
      <c r="J355" s="221"/>
      <c r="K355" s="221"/>
      <c r="L355" s="221"/>
      <c r="M355" s="221"/>
      <c r="N355" s="221"/>
      <c r="O355" s="221"/>
      <c r="P355" s="221"/>
      <c r="Q355" s="221"/>
      <c r="R355" s="221"/>
      <c r="S355" s="221"/>
      <c r="T355" s="221"/>
      <c r="U355" s="221"/>
      <c r="V355" s="221"/>
      <c r="W355" s="221"/>
      <c r="X355" s="221"/>
    </row>
    <row r="356" spans="1:24" ht="14" x14ac:dyDescent="0.3">
      <c r="A356" s="221"/>
      <c r="B356" s="221"/>
      <c r="C356" s="221"/>
      <c r="D356" s="221"/>
      <c r="E356" s="221"/>
      <c r="F356" s="221"/>
      <c r="G356" s="221"/>
      <c r="H356" s="221"/>
      <c r="I356" s="221"/>
      <c r="J356" s="221"/>
      <c r="K356" s="221"/>
      <c r="L356" s="221"/>
      <c r="M356" s="221"/>
      <c r="N356" s="221"/>
      <c r="O356" s="221"/>
      <c r="P356" s="221"/>
      <c r="Q356" s="221"/>
      <c r="R356" s="221"/>
      <c r="S356" s="221"/>
      <c r="T356" s="221"/>
      <c r="U356" s="221"/>
      <c r="V356" s="221"/>
      <c r="W356" s="221"/>
      <c r="X356" s="221"/>
    </row>
    <row r="357" spans="1:24" ht="14" x14ac:dyDescent="0.3">
      <c r="A357" s="221"/>
      <c r="B357" s="221"/>
      <c r="C357" s="221"/>
      <c r="D357" s="221"/>
      <c r="E357" s="221"/>
      <c r="F357" s="221"/>
      <c r="G357" s="221"/>
      <c r="H357" s="221"/>
      <c r="I357" s="221"/>
      <c r="J357" s="221"/>
      <c r="K357" s="221"/>
      <c r="L357" s="221"/>
      <c r="M357" s="221"/>
      <c r="N357" s="221"/>
      <c r="O357" s="221"/>
      <c r="P357" s="221"/>
      <c r="Q357" s="221"/>
      <c r="R357" s="221"/>
      <c r="S357" s="221"/>
      <c r="T357" s="221"/>
      <c r="U357" s="221"/>
      <c r="V357" s="221"/>
      <c r="W357" s="221"/>
      <c r="X357" s="221"/>
    </row>
    <row r="358" spans="1:24" ht="14" x14ac:dyDescent="0.3">
      <c r="A358" s="221"/>
      <c r="B358" s="221"/>
      <c r="C358" s="221"/>
      <c r="D358" s="221"/>
      <c r="E358" s="221"/>
      <c r="F358" s="221"/>
      <c r="G358" s="221"/>
      <c r="H358" s="221"/>
      <c r="I358" s="221"/>
      <c r="J358" s="221"/>
      <c r="K358" s="221"/>
      <c r="L358" s="221"/>
      <c r="M358" s="221"/>
      <c r="N358" s="221"/>
      <c r="O358" s="221"/>
      <c r="P358" s="221"/>
      <c r="Q358" s="221"/>
      <c r="R358" s="221"/>
      <c r="S358" s="221"/>
      <c r="T358" s="221"/>
      <c r="U358" s="221"/>
      <c r="V358" s="221"/>
      <c r="W358" s="221"/>
      <c r="X358" s="221"/>
    </row>
    <row r="359" spans="1:24" ht="14" x14ac:dyDescent="0.3">
      <c r="A359" s="221"/>
      <c r="B359" s="221"/>
      <c r="C359" s="221"/>
      <c r="D359" s="221"/>
      <c r="E359" s="221"/>
      <c r="F359" s="221"/>
      <c r="G359" s="221"/>
      <c r="H359" s="221"/>
      <c r="I359" s="221"/>
      <c r="J359" s="221"/>
      <c r="K359" s="221"/>
      <c r="L359" s="221"/>
      <c r="M359" s="221"/>
      <c r="N359" s="221"/>
      <c r="O359" s="221"/>
      <c r="P359" s="221"/>
      <c r="Q359" s="221"/>
      <c r="R359" s="221"/>
      <c r="S359" s="221"/>
      <c r="T359" s="221"/>
      <c r="U359" s="221"/>
      <c r="V359" s="221"/>
      <c r="W359" s="221"/>
      <c r="X359" s="221"/>
    </row>
    <row r="360" spans="1:24" ht="14" x14ac:dyDescent="0.3">
      <c r="A360" s="221"/>
      <c r="B360" s="221"/>
      <c r="C360" s="221"/>
      <c r="D360" s="221"/>
      <c r="E360" s="221"/>
      <c r="F360" s="221"/>
      <c r="G360" s="221"/>
      <c r="H360" s="221"/>
      <c r="I360" s="221"/>
      <c r="J360" s="221"/>
      <c r="K360" s="221"/>
      <c r="L360" s="221"/>
      <c r="M360" s="221"/>
      <c r="N360" s="221"/>
      <c r="O360" s="221"/>
      <c r="P360" s="221"/>
      <c r="Q360" s="221"/>
      <c r="R360" s="221"/>
      <c r="S360" s="221"/>
      <c r="T360" s="221"/>
      <c r="U360" s="221"/>
      <c r="V360" s="221"/>
      <c r="W360" s="221"/>
      <c r="X360" s="221"/>
    </row>
    <row r="361" spans="1:24" ht="14" x14ac:dyDescent="0.3">
      <c r="A361" s="221"/>
      <c r="B361" s="221"/>
      <c r="C361" s="221"/>
      <c r="D361" s="221"/>
      <c r="E361" s="221"/>
      <c r="F361" s="221"/>
      <c r="G361" s="221"/>
      <c r="H361" s="221"/>
      <c r="I361" s="221"/>
      <c r="J361" s="221"/>
      <c r="K361" s="221"/>
      <c r="L361" s="221"/>
      <c r="M361" s="221"/>
      <c r="N361" s="221"/>
      <c r="O361" s="221"/>
      <c r="P361" s="221"/>
      <c r="Q361" s="221"/>
      <c r="R361" s="221"/>
      <c r="S361" s="221"/>
      <c r="T361" s="221"/>
      <c r="U361" s="221"/>
      <c r="V361" s="221"/>
      <c r="W361" s="221"/>
      <c r="X361" s="221"/>
    </row>
    <row r="362" spans="1:24" ht="14" x14ac:dyDescent="0.3">
      <c r="A362" s="221"/>
      <c r="B362" s="221"/>
      <c r="C362" s="221"/>
      <c r="D362" s="221"/>
      <c r="E362" s="221"/>
      <c r="F362" s="221"/>
      <c r="G362" s="221"/>
      <c r="H362" s="221"/>
      <c r="I362" s="221"/>
      <c r="J362" s="221"/>
      <c r="K362" s="221"/>
      <c r="L362" s="221"/>
      <c r="M362" s="221"/>
      <c r="N362" s="221"/>
      <c r="O362" s="221"/>
      <c r="P362" s="221"/>
      <c r="Q362" s="221"/>
      <c r="R362" s="221"/>
      <c r="S362" s="221"/>
      <c r="T362" s="221"/>
      <c r="U362" s="221"/>
      <c r="V362" s="221"/>
      <c r="W362" s="221"/>
      <c r="X362" s="221"/>
    </row>
    <row r="363" spans="1:24" ht="14" x14ac:dyDescent="0.3">
      <c r="A363" s="221"/>
      <c r="B363" s="221"/>
      <c r="C363" s="221"/>
      <c r="D363" s="221"/>
      <c r="E363" s="221"/>
      <c r="F363" s="221"/>
      <c r="G363" s="221"/>
      <c r="H363" s="221"/>
      <c r="I363" s="221"/>
      <c r="J363" s="221"/>
      <c r="K363" s="221"/>
      <c r="L363" s="221"/>
      <c r="M363" s="221"/>
      <c r="N363" s="221"/>
      <c r="O363" s="221"/>
      <c r="P363" s="221"/>
      <c r="Q363" s="221"/>
      <c r="R363" s="221"/>
      <c r="S363" s="221"/>
      <c r="T363" s="221"/>
      <c r="U363" s="221"/>
      <c r="V363" s="221"/>
      <c r="W363" s="221"/>
      <c r="X363" s="221"/>
    </row>
    <row r="364" spans="1:24" ht="14" x14ac:dyDescent="0.3">
      <c r="A364" s="221"/>
      <c r="B364" s="221"/>
      <c r="C364" s="221"/>
      <c r="D364" s="221"/>
      <c r="E364" s="221"/>
      <c r="F364" s="221"/>
      <c r="G364" s="221"/>
      <c r="H364" s="221"/>
      <c r="I364" s="221"/>
      <c r="J364" s="221"/>
      <c r="K364" s="221"/>
      <c r="L364" s="221"/>
      <c r="M364" s="221"/>
      <c r="N364" s="221"/>
      <c r="O364" s="221"/>
      <c r="P364" s="221"/>
      <c r="Q364" s="221"/>
      <c r="R364" s="221"/>
      <c r="S364" s="221"/>
      <c r="T364" s="221"/>
      <c r="U364" s="221"/>
      <c r="V364" s="221"/>
      <c r="W364" s="221"/>
      <c r="X364" s="221"/>
    </row>
    <row r="365" spans="1:24" ht="14" x14ac:dyDescent="0.3">
      <c r="A365" s="221"/>
      <c r="B365" s="221"/>
      <c r="C365" s="221"/>
      <c r="D365" s="221"/>
      <c r="E365" s="221"/>
      <c r="F365" s="221"/>
      <c r="G365" s="221"/>
      <c r="H365" s="221"/>
      <c r="I365" s="221"/>
      <c r="J365" s="221"/>
      <c r="K365" s="221"/>
      <c r="L365" s="221"/>
      <c r="M365" s="221"/>
      <c r="N365" s="221"/>
      <c r="O365" s="221"/>
      <c r="P365" s="221"/>
      <c r="Q365" s="221"/>
      <c r="R365" s="221"/>
      <c r="S365" s="221"/>
      <c r="T365" s="221"/>
      <c r="U365" s="221"/>
      <c r="V365" s="221"/>
      <c r="W365" s="221"/>
      <c r="X365" s="221"/>
    </row>
    <row r="366" spans="1:24" ht="14" x14ac:dyDescent="0.3">
      <c r="A366" s="221"/>
      <c r="B366" s="221"/>
      <c r="C366" s="221"/>
      <c r="D366" s="221"/>
      <c r="E366" s="221"/>
      <c r="F366" s="221"/>
      <c r="G366" s="221"/>
      <c r="H366" s="221"/>
      <c r="I366" s="221"/>
      <c r="J366" s="221"/>
      <c r="K366" s="221"/>
      <c r="L366" s="221"/>
      <c r="M366" s="221"/>
      <c r="N366" s="221"/>
      <c r="O366" s="221"/>
      <c r="P366" s="221"/>
      <c r="Q366" s="221"/>
      <c r="R366" s="221"/>
      <c r="S366" s="221"/>
      <c r="T366" s="221"/>
      <c r="U366" s="221"/>
      <c r="V366" s="221"/>
      <c r="W366" s="221"/>
      <c r="X366" s="221"/>
    </row>
    <row r="367" spans="1:24" ht="14" x14ac:dyDescent="0.3">
      <c r="A367" s="221"/>
      <c r="B367" s="221"/>
      <c r="C367" s="221"/>
      <c r="D367" s="221"/>
      <c r="E367" s="221"/>
      <c r="F367" s="221"/>
      <c r="G367" s="221"/>
      <c r="H367" s="221"/>
      <c r="I367" s="221"/>
      <c r="J367" s="221"/>
      <c r="K367" s="221"/>
      <c r="L367" s="221"/>
      <c r="M367" s="221"/>
      <c r="N367" s="221"/>
      <c r="O367" s="221"/>
      <c r="P367" s="221"/>
      <c r="Q367" s="221"/>
      <c r="R367" s="221"/>
      <c r="S367" s="221"/>
      <c r="T367" s="221"/>
      <c r="U367" s="221"/>
      <c r="V367" s="221"/>
      <c r="W367" s="221"/>
      <c r="X367" s="221"/>
    </row>
    <row r="368" spans="1:24" ht="14" x14ac:dyDescent="0.3">
      <c r="A368" s="221"/>
      <c r="B368" s="221"/>
      <c r="C368" s="221"/>
      <c r="D368" s="221"/>
      <c r="E368" s="221"/>
      <c r="F368" s="221"/>
      <c r="G368" s="221"/>
      <c r="H368" s="221"/>
      <c r="I368" s="221"/>
      <c r="J368" s="221"/>
      <c r="K368" s="221"/>
      <c r="L368" s="221"/>
      <c r="M368" s="221"/>
      <c r="N368" s="221"/>
      <c r="O368" s="221"/>
      <c r="P368" s="221"/>
      <c r="Q368" s="221"/>
      <c r="R368" s="221"/>
      <c r="S368" s="221"/>
      <c r="T368" s="221"/>
      <c r="U368" s="221"/>
      <c r="V368" s="221"/>
      <c r="W368" s="221"/>
      <c r="X368" s="221"/>
    </row>
    <row r="369" spans="1:24" ht="14" x14ac:dyDescent="0.3">
      <c r="A369" s="221"/>
      <c r="B369" s="221"/>
      <c r="C369" s="221"/>
      <c r="D369" s="221"/>
      <c r="E369" s="221"/>
      <c r="F369" s="221"/>
      <c r="G369" s="221"/>
      <c r="H369" s="221"/>
      <c r="I369" s="221"/>
      <c r="J369" s="221"/>
      <c r="K369" s="221"/>
      <c r="L369" s="221"/>
      <c r="M369" s="221"/>
      <c r="N369" s="221"/>
      <c r="O369" s="221"/>
      <c r="P369" s="221"/>
      <c r="Q369" s="221"/>
      <c r="R369" s="221"/>
      <c r="S369" s="221"/>
      <c r="T369" s="221"/>
      <c r="U369" s="221"/>
      <c r="V369" s="221"/>
      <c r="W369" s="221"/>
      <c r="X369" s="221"/>
    </row>
    <row r="370" spans="1:24" ht="14" x14ac:dyDescent="0.3">
      <c r="A370" s="221"/>
      <c r="B370" s="221"/>
      <c r="C370" s="221"/>
      <c r="D370" s="221"/>
      <c r="E370" s="221"/>
      <c r="F370" s="221"/>
      <c r="G370" s="221"/>
      <c r="H370" s="221"/>
      <c r="I370" s="221"/>
      <c r="J370" s="221"/>
      <c r="K370" s="221"/>
      <c r="L370" s="221"/>
      <c r="M370" s="221"/>
      <c r="N370" s="221"/>
      <c r="O370" s="221"/>
      <c r="P370" s="221"/>
      <c r="Q370" s="221"/>
      <c r="R370" s="221"/>
      <c r="S370" s="221"/>
      <c r="T370" s="221"/>
      <c r="U370" s="221"/>
      <c r="V370" s="221"/>
      <c r="W370" s="221"/>
      <c r="X370" s="221"/>
    </row>
    <row r="371" spans="1:24" ht="14" x14ac:dyDescent="0.3">
      <c r="A371" s="221"/>
      <c r="B371" s="221"/>
      <c r="C371" s="221"/>
      <c r="D371" s="221"/>
      <c r="E371" s="221"/>
      <c r="F371" s="221"/>
      <c r="G371" s="221"/>
      <c r="H371" s="221"/>
      <c r="I371" s="221"/>
      <c r="J371" s="221"/>
      <c r="K371" s="221"/>
      <c r="L371" s="221"/>
      <c r="M371" s="221"/>
      <c r="N371" s="221"/>
      <c r="O371" s="221"/>
      <c r="P371" s="221"/>
      <c r="Q371" s="221"/>
      <c r="R371" s="221"/>
      <c r="S371" s="221"/>
      <c r="T371" s="221"/>
      <c r="U371" s="221"/>
      <c r="V371" s="221"/>
      <c r="W371" s="221"/>
      <c r="X371" s="221"/>
    </row>
    <row r="372" spans="1:24" ht="14" x14ac:dyDescent="0.3">
      <c r="A372" s="221"/>
      <c r="B372" s="221"/>
      <c r="C372" s="221"/>
      <c r="D372" s="221"/>
      <c r="E372" s="221"/>
      <c r="F372" s="221"/>
      <c r="G372" s="221"/>
      <c r="H372" s="221"/>
      <c r="I372" s="221"/>
      <c r="J372" s="221"/>
      <c r="K372" s="221"/>
      <c r="L372" s="221"/>
      <c r="M372" s="221"/>
      <c r="N372" s="221"/>
      <c r="O372" s="221"/>
      <c r="P372" s="221"/>
      <c r="Q372" s="221"/>
      <c r="R372" s="221"/>
      <c r="S372" s="221"/>
      <c r="T372" s="221"/>
      <c r="U372" s="221"/>
      <c r="V372" s="221"/>
      <c r="W372" s="221"/>
      <c r="X372" s="221"/>
    </row>
    <row r="373" spans="1:24" ht="14" x14ac:dyDescent="0.3">
      <c r="A373" s="221"/>
      <c r="B373" s="221"/>
      <c r="C373" s="221"/>
      <c r="D373" s="221"/>
      <c r="E373" s="221"/>
      <c r="F373" s="221"/>
      <c r="G373" s="221"/>
      <c r="H373" s="221"/>
      <c r="I373" s="221"/>
      <c r="J373" s="221"/>
      <c r="K373" s="221"/>
      <c r="L373" s="221"/>
      <c r="M373" s="221"/>
      <c r="N373" s="221"/>
      <c r="O373" s="221"/>
      <c r="P373" s="221"/>
      <c r="Q373" s="221"/>
      <c r="R373" s="221"/>
      <c r="S373" s="221"/>
      <c r="T373" s="221"/>
      <c r="U373" s="221"/>
      <c r="V373" s="221"/>
      <c r="W373" s="221"/>
      <c r="X373" s="221"/>
    </row>
    <row r="374" spans="1:24" ht="14" x14ac:dyDescent="0.3">
      <c r="A374" s="221"/>
      <c r="B374" s="221"/>
      <c r="C374" s="221"/>
      <c r="D374" s="221"/>
      <c r="E374" s="221"/>
      <c r="F374" s="221"/>
      <c r="G374" s="221"/>
      <c r="H374" s="221"/>
      <c r="I374" s="221"/>
      <c r="J374" s="221"/>
      <c r="K374" s="221"/>
      <c r="L374" s="221"/>
      <c r="M374" s="221"/>
      <c r="N374" s="221"/>
      <c r="O374" s="221"/>
      <c r="P374" s="221"/>
      <c r="Q374" s="221"/>
      <c r="R374" s="221"/>
      <c r="S374" s="221"/>
      <c r="T374" s="221"/>
      <c r="U374" s="221"/>
      <c r="V374" s="221"/>
      <c r="W374" s="221"/>
      <c r="X374" s="221"/>
    </row>
    <row r="375" spans="1:24" ht="14" x14ac:dyDescent="0.3">
      <c r="A375" s="221"/>
      <c r="B375" s="221"/>
      <c r="C375" s="221"/>
      <c r="D375" s="221"/>
      <c r="E375" s="221"/>
      <c r="F375" s="221"/>
      <c r="G375" s="221"/>
      <c r="H375" s="221"/>
      <c r="I375" s="221"/>
      <c r="J375" s="221"/>
      <c r="K375" s="221"/>
      <c r="L375" s="221"/>
      <c r="M375" s="221"/>
      <c r="N375" s="221"/>
      <c r="O375" s="221"/>
      <c r="P375" s="221"/>
      <c r="Q375" s="221"/>
      <c r="R375" s="221"/>
      <c r="S375" s="221"/>
      <c r="T375" s="221"/>
      <c r="U375" s="221"/>
      <c r="V375" s="221"/>
      <c r="W375" s="221"/>
      <c r="X375" s="221"/>
    </row>
    <row r="376" spans="1:24" ht="14" x14ac:dyDescent="0.3">
      <c r="A376" s="221"/>
      <c r="B376" s="221"/>
      <c r="C376" s="221"/>
      <c r="D376" s="221"/>
      <c r="E376" s="221"/>
      <c r="F376" s="221"/>
      <c r="G376" s="221"/>
      <c r="H376" s="221"/>
      <c r="I376" s="221"/>
      <c r="J376" s="221"/>
      <c r="K376" s="221"/>
      <c r="L376" s="221"/>
      <c r="M376" s="221"/>
      <c r="N376" s="221"/>
      <c r="O376" s="221"/>
      <c r="P376" s="221"/>
      <c r="Q376" s="221"/>
      <c r="R376" s="221"/>
      <c r="S376" s="221"/>
      <c r="T376" s="221"/>
      <c r="U376" s="221"/>
      <c r="V376" s="221"/>
      <c r="W376" s="221"/>
      <c r="X376" s="221"/>
    </row>
    <row r="377" spans="1:24" ht="14" x14ac:dyDescent="0.3">
      <c r="A377" s="221"/>
      <c r="B377" s="221"/>
      <c r="C377" s="221"/>
      <c r="D377" s="221"/>
      <c r="E377" s="221"/>
      <c r="F377" s="221"/>
      <c r="G377" s="221"/>
      <c r="H377" s="221"/>
      <c r="I377" s="221"/>
      <c r="J377" s="221"/>
      <c r="K377" s="221"/>
      <c r="L377" s="221"/>
      <c r="M377" s="221"/>
      <c r="N377" s="221"/>
      <c r="O377" s="221"/>
      <c r="P377" s="221"/>
      <c r="Q377" s="221"/>
      <c r="R377" s="221"/>
      <c r="S377" s="221"/>
      <c r="T377" s="221"/>
      <c r="U377" s="221"/>
      <c r="V377" s="221"/>
      <c r="W377" s="221"/>
      <c r="X377" s="221"/>
    </row>
    <row r="378" spans="1:24" ht="14" x14ac:dyDescent="0.3">
      <c r="A378" s="221"/>
      <c r="B378" s="221"/>
      <c r="C378" s="221"/>
      <c r="D378" s="221"/>
      <c r="E378" s="221"/>
      <c r="F378" s="221"/>
      <c r="G378" s="221"/>
      <c r="H378" s="221"/>
      <c r="I378" s="221"/>
      <c r="J378" s="221"/>
      <c r="K378" s="221"/>
      <c r="L378" s="221"/>
      <c r="M378" s="221"/>
      <c r="N378" s="221"/>
      <c r="O378" s="221"/>
      <c r="P378" s="221"/>
      <c r="Q378" s="221"/>
      <c r="R378" s="221"/>
      <c r="S378" s="221"/>
      <c r="T378" s="221"/>
      <c r="U378" s="221"/>
      <c r="V378" s="221"/>
      <c r="W378" s="221"/>
      <c r="X378" s="221"/>
    </row>
    <row r="379" spans="1:24" ht="14" x14ac:dyDescent="0.3">
      <c r="A379" s="221"/>
      <c r="B379" s="221"/>
      <c r="C379" s="221"/>
      <c r="D379" s="221"/>
      <c r="E379" s="221"/>
      <c r="F379" s="221"/>
      <c r="G379" s="221"/>
      <c r="H379" s="221"/>
      <c r="I379" s="221"/>
      <c r="J379" s="221"/>
      <c r="K379" s="221"/>
      <c r="L379" s="221"/>
      <c r="M379" s="221"/>
      <c r="N379" s="221"/>
      <c r="O379" s="221"/>
      <c r="P379" s="221"/>
      <c r="Q379" s="221"/>
      <c r="R379" s="221"/>
      <c r="S379" s="221"/>
      <c r="T379" s="221"/>
      <c r="U379" s="221"/>
      <c r="V379" s="221"/>
      <c r="W379" s="221"/>
      <c r="X379" s="221"/>
    </row>
    <row r="380" spans="1:24" ht="14" x14ac:dyDescent="0.3">
      <c r="A380" s="221"/>
      <c r="B380" s="221"/>
      <c r="C380" s="221"/>
      <c r="D380" s="221"/>
      <c r="E380" s="221"/>
      <c r="F380" s="221"/>
      <c r="G380" s="221"/>
      <c r="H380" s="221"/>
      <c r="I380" s="221"/>
      <c r="J380" s="221"/>
      <c r="K380" s="221"/>
      <c r="L380" s="221"/>
      <c r="M380" s="221"/>
      <c r="N380" s="221"/>
      <c r="O380" s="221"/>
      <c r="P380" s="221"/>
      <c r="Q380" s="221"/>
      <c r="R380" s="221"/>
      <c r="S380" s="221"/>
      <c r="T380" s="221"/>
      <c r="U380" s="221"/>
      <c r="V380" s="221"/>
      <c r="W380" s="221"/>
      <c r="X380" s="221"/>
    </row>
    <row r="381" spans="1:24" ht="14" x14ac:dyDescent="0.3">
      <c r="A381" s="221"/>
      <c r="B381" s="221"/>
      <c r="C381" s="221"/>
      <c r="D381" s="221"/>
      <c r="E381" s="221"/>
      <c r="F381" s="221"/>
      <c r="G381" s="221"/>
      <c r="H381" s="221"/>
      <c r="I381" s="221"/>
      <c r="J381" s="221"/>
      <c r="K381" s="221"/>
      <c r="L381" s="221"/>
      <c r="M381" s="221"/>
      <c r="N381" s="221"/>
      <c r="O381" s="221"/>
      <c r="P381" s="221"/>
      <c r="Q381" s="221"/>
      <c r="R381" s="221"/>
      <c r="S381" s="221"/>
      <c r="T381" s="221"/>
      <c r="U381" s="221"/>
      <c r="V381" s="221"/>
      <c r="W381" s="221"/>
      <c r="X381" s="221"/>
    </row>
    <row r="382" spans="1:24" ht="14" x14ac:dyDescent="0.3">
      <c r="A382" s="221"/>
      <c r="B382" s="221"/>
      <c r="C382" s="221"/>
      <c r="D382" s="221"/>
      <c r="E382" s="221"/>
      <c r="F382" s="221"/>
      <c r="G382" s="221"/>
      <c r="H382" s="221"/>
      <c r="I382" s="221"/>
      <c r="J382" s="221"/>
      <c r="K382" s="221"/>
      <c r="L382" s="221"/>
      <c r="M382" s="221"/>
      <c r="N382" s="221"/>
      <c r="O382" s="221"/>
      <c r="P382" s="221"/>
      <c r="Q382" s="221"/>
      <c r="R382" s="221"/>
      <c r="S382" s="221"/>
      <c r="T382" s="221"/>
      <c r="U382" s="221"/>
      <c r="V382" s="221"/>
      <c r="W382" s="221"/>
      <c r="X382" s="221"/>
    </row>
    <row r="383" spans="1:24" ht="14" x14ac:dyDescent="0.3">
      <c r="A383" s="221"/>
      <c r="B383" s="221"/>
      <c r="C383" s="221"/>
      <c r="D383" s="221"/>
      <c r="E383" s="221"/>
      <c r="F383" s="221"/>
      <c r="G383" s="221"/>
      <c r="H383" s="221"/>
      <c r="I383" s="221"/>
      <c r="J383" s="221"/>
      <c r="K383" s="221"/>
      <c r="L383" s="221"/>
      <c r="M383" s="221"/>
      <c r="N383" s="221"/>
      <c r="O383" s="221"/>
      <c r="P383" s="221"/>
      <c r="Q383" s="221"/>
      <c r="R383" s="221"/>
      <c r="S383" s="221"/>
      <c r="T383" s="221"/>
      <c r="U383" s="221"/>
      <c r="V383" s="221"/>
      <c r="W383" s="221"/>
      <c r="X383" s="221"/>
    </row>
    <row r="384" spans="1:24" ht="14" x14ac:dyDescent="0.3">
      <c r="A384" s="221"/>
      <c r="B384" s="221"/>
      <c r="C384" s="221"/>
      <c r="D384" s="221"/>
      <c r="E384" s="221"/>
      <c r="F384" s="221"/>
      <c r="G384" s="221"/>
      <c r="H384" s="221"/>
      <c r="I384" s="221"/>
      <c r="J384" s="221"/>
      <c r="K384" s="221"/>
      <c r="L384" s="221"/>
      <c r="M384" s="221"/>
      <c r="N384" s="221"/>
      <c r="O384" s="221"/>
      <c r="P384" s="221"/>
      <c r="Q384" s="221"/>
      <c r="R384" s="221"/>
      <c r="S384" s="221"/>
      <c r="T384" s="221"/>
      <c r="U384" s="221"/>
      <c r="V384" s="221"/>
      <c r="W384" s="221"/>
      <c r="X384" s="221"/>
    </row>
    <row r="385" spans="1:24" ht="14" x14ac:dyDescent="0.3">
      <c r="A385" s="221"/>
      <c r="B385" s="221"/>
      <c r="C385" s="221"/>
      <c r="D385" s="221"/>
      <c r="E385" s="221"/>
      <c r="F385" s="221"/>
      <c r="G385" s="221"/>
      <c r="H385" s="221"/>
      <c r="I385" s="221"/>
      <c r="J385" s="221"/>
      <c r="K385" s="221"/>
      <c r="L385" s="221"/>
      <c r="M385" s="221"/>
      <c r="N385" s="221"/>
      <c r="O385" s="221"/>
      <c r="P385" s="221"/>
      <c r="Q385" s="221"/>
      <c r="R385" s="221"/>
      <c r="S385" s="221"/>
      <c r="T385" s="221"/>
      <c r="U385" s="221"/>
      <c r="V385" s="221"/>
      <c r="W385" s="221"/>
      <c r="X385" s="221"/>
    </row>
    <row r="386" spans="1:24" ht="14" x14ac:dyDescent="0.3">
      <c r="A386" s="221"/>
      <c r="B386" s="221"/>
      <c r="C386" s="221"/>
      <c r="D386" s="221"/>
      <c r="E386" s="221"/>
      <c r="F386" s="221"/>
      <c r="G386" s="221"/>
      <c r="H386" s="221"/>
      <c r="I386" s="221"/>
      <c r="J386" s="221"/>
      <c r="K386" s="221"/>
      <c r="L386" s="221"/>
      <c r="M386" s="221"/>
      <c r="N386" s="221"/>
      <c r="O386" s="221"/>
      <c r="P386" s="221"/>
      <c r="Q386" s="221"/>
      <c r="R386" s="221"/>
      <c r="S386" s="221"/>
      <c r="T386" s="221"/>
      <c r="U386" s="221"/>
      <c r="V386" s="221"/>
      <c r="W386" s="221"/>
      <c r="X386" s="221"/>
    </row>
    <row r="387" spans="1:24" ht="14" x14ac:dyDescent="0.3">
      <c r="A387" s="221"/>
      <c r="B387" s="221"/>
      <c r="C387" s="221"/>
      <c r="D387" s="221"/>
      <c r="E387" s="221"/>
      <c r="F387" s="221"/>
      <c r="G387" s="221"/>
      <c r="H387" s="221"/>
      <c r="I387" s="221"/>
      <c r="J387" s="221"/>
      <c r="K387" s="221"/>
      <c r="L387" s="221"/>
      <c r="M387" s="221"/>
      <c r="N387" s="221"/>
      <c r="O387" s="221"/>
      <c r="P387" s="221"/>
      <c r="Q387" s="221"/>
      <c r="R387" s="221"/>
      <c r="S387" s="221"/>
      <c r="T387" s="221"/>
      <c r="U387" s="221"/>
      <c r="V387" s="221"/>
      <c r="W387" s="221"/>
      <c r="X387" s="221"/>
    </row>
    <row r="388" spans="1:24" ht="14" x14ac:dyDescent="0.3">
      <c r="A388" s="221"/>
      <c r="B388" s="221"/>
      <c r="C388" s="221"/>
      <c r="D388" s="221"/>
      <c r="E388" s="221"/>
      <c r="F388" s="221"/>
      <c r="G388" s="221"/>
      <c r="H388" s="221"/>
      <c r="I388" s="221"/>
      <c r="J388" s="221"/>
      <c r="K388" s="221"/>
      <c r="L388" s="221"/>
      <c r="M388" s="221"/>
      <c r="N388" s="221"/>
      <c r="O388" s="221"/>
      <c r="P388" s="221"/>
      <c r="Q388" s="221"/>
      <c r="R388" s="221"/>
      <c r="S388" s="221"/>
      <c r="T388" s="221"/>
      <c r="U388" s="221"/>
      <c r="V388" s="221"/>
      <c r="W388" s="221"/>
      <c r="X388" s="221"/>
    </row>
    <row r="389" spans="1:24" ht="14" x14ac:dyDescent="0.3">
      <c r="A389" s="221"/>
      <c r="B389" s="221"/>
      <c r="C389" s="221"/>
      <c r="D389" s="221"/>
      <c r="E389" s="221"/>
      <c r="F389" s="221"/>
      <c r="G389" s="221"/>
      <c r="H389" s="221"/>
      <c r="I389" s="221"/>
      <c r="J389" s="221"/>
      <c r="K389" s="221"/>
      <c r="L389" s="221"/>
      <c r="M389" s="221"/>
      <c r="N389" s="221"/>
      <c r="O389" s="221"/>
      <c r="P389" s="221"/>
      <c r="Q389" s="221"/>
      <c r="R389" s="221"/>
      <c r="S389" s="221"/>
      <c r="T389" s="221"/>
      <c r="U389" s="221"/>
      <c r="V389" s="221"/>
      <c r="W389" s="221"/>
      <c r="X389" s="221"/>
    </row>
    <row r="390" spans="1:24" ht="14" x14ac:dyDescent="0.3">
      <c r="A390" s="221"/>
      <c r="B390" s="221"/>
      <c r="C390" s="221"/>
      <c r="D390" s="221"/>
      <c r="E390" s="221"/>
      <c r="F390" s="221"/>
      <c r="G390" s="221"/>
      <c r="H390" s="221"/>
      <c r="I390" s="221"/>
      <c r="J390" s="221"/>
      <c r="K390" s="221"/>
      <c r="L390" s="221"/>
      <c r="M390" s="221"/>
      <c r="N390" s="221"/>
      <c r="O390" s="221"/>
      <c r="P390" s="221"/>
      <c r="Q390" s="221"/>
      <c r="R390" s="221"/>
      <c r="S390" s="221"/>
      <c r="T390" s="221"/>
      <c r="U390" s="221"/>
      <c r="V390" s="221"/>
      <c r="W390" s="221"/>
      <c r="X390" s="221"/>
    </row>
    <row r="391" spans="1:24" ht="14" x14ac:dyDescent="0.3">
      <c r="A391" s="221"/>
      <c r="B391" s="221"/>
      <c r="C391" s="221"/>
      <c r="D391" s="221"/>
      <c r="E391" s="221"/>
      <c r="F391" s="221"/>
      <c r="G391" s="221"/>
      <c r="H391" s="221"/>
      <c r="I391" s="221"/>
      <c r="J391" s="221"/>
      <c r="K391" s="221"/>
      <c r="L391" s="221"/>
      <c r="M391" s="221"/>
      <c r="N391" s="221"/>
      <c r="O391" s="221"/>
      <c r="P391" s="221"/>
      <c r="Q391" s="221"/>
      <c r="R391" s="221"/>
      <c r="S391" s="221"/>
      <c r="T391" s="221"/>
      <c r="U391" s="221"/>
      <c r="V391" s="221"/>
      <c r="W391" s="221"/>
      <c r="X391" s="221"/>
    </row>
    <row r="392" spans="1:24" ht="14" x14ac:dyDescent="0.3">
      <c r="A392" s="221"/>
      <c r="B392" s="221"/>
      <c r="C392" s="221"/>
      <c r="D392" s="221"/>
      <c r="E392" s="221"/>
      <c r="F392" s="221"/>
      <c r="G392" s="221"/>
      <c r="H392" s="221"/>
      <c r="I392" s="221"/>
      <c r="J392" s="221"/>
      <c r="K392" s="221"/>
      <c r="L392" s="221"/>
      <c r="M392" s="221"/>
      <c r="N392" s="221"/>
      <c r="O392" s="221"/>
      <c r="P392" s="221"/>
      <c r="Q392" s="221"/>
      <c r="R392" s="221"/>
      <c r="S392" s="221"/>
      <c r="T392" s="221"/>
      <c r="U392" s="221"/>
      <c r="V392" s="221"/>
      <c r="W392" s="221"/>
      <c r="X392" s="221"/>
    </row>
    <row r="393" spans="1:24" ht="14" x14ac:dyDescent="0.3">
      <c r="A393" s="221"/>
      <c r="B393" s="221"/>
      <c r="C393" s="221"/>
      <c r="D393" s="221"/>
      <c r="E393" s="221"/>
      <c r="F393" s="221"/>
      <c r="G393" s="221"/>
      <c r="H393" s="221"/>
      <c r="I393" s="221"/>
      <c r="J393" s="221"/>
      <c r="K393" s="221"/>
      <c r="L393" s="221"/>
      <c r="M393" s="221"/>
      <c r="N393" s="221"/>
      <c r="O393" s="221"/>
      <c r="P393" s="221"/>
      <c r="Q393" s="221"/>
      <c r="R393" s="221"/>
      <c r="S393" s="221"/>
      <c r="T393" s="221"/>
      <c r="U393" s="221"/>
      <c r="V393" s="221"/>
      <c r="W393" s="221"/>
      <c r="X393" s="221"/>
    </row>
    <row r="394" spans="1:24" ht="14" x14ac:dyDescent="0.3">
      <c r="A394" s="221"/>
      <c r="B394" s="221"/>
      <c r="C394" s="221"/>
      <c r="D394" s="221"/>
      <c r="E394" s="221"/>
      <c r="F394" s="221"/>
      <c r="G394" s="221"/>
      <c r="H394" s="221"/>
      <c r="I394" s="221"/>
      <c r="J394" s="221"/>
      <c r="K394" s="221"/>
      <c r="L394" s="221"/>
      <c r="M394" s="221"/>
      <c r="N394" s="221"/>
      <c r="O394" s="221"/>
      <c r="P394" s="221"/>
      <c r="Q394" s="221"/>
      <c r="R394" s="221"/>
      <c r="S394" s="221"/>
      <c r="T394" s="221"/>
      <c r="U394" s="221"/>
      <c r="V394" s="221"/>
      <c r="W394" s="221"/>
      <c r="X394" s="221"/>
    </row>
    <row r="395" spans="1:24" ht="14" x14ac:dyDescent="0.3">
      <c r="A395" s="221"/>
      <c r="B395" s="221"/>
      <c r="C395" s="221"/>
      <c r="D395" s="221"/>
      <c r="E395" s="221"/>
      <c r="F395" s="221"/>
      <c r="G395" s="221"/>
      <c r="H395" s="221"/>
      <c r="I395" s="221"/>
      <c r="J395" s="221"/>
      <c r="K395" s="221"/>
      <c r="L395" s="221"/>
      <c r="M395" s="221"/>
      <c r="N395" s="221"/>
      <c r="O395" s="221"/>
      <c r="P395" s="221"/>
      <c r="Q395" s="221"/>
      <c r="R395" s="221"/>
      <c r="S395" s="221"/>
      <c r="T395" s="221"/>
      <c r="U395" s="221"/>
      <c r="V395" s="221"/>
      <c r="W395" s="221"/>
      <c r="X395" s="221"/>
    </row>
    <row r="396" spans="1:24" ht="14" x14ac:dyDescent="0.3">
      <c r="A396" s="221"/>
      <c r="B396" s="221"/>
      <c r="C396" s="221"/>
      <c r="D396" s="221"/>
      <c r="E396" s="221"/>
      <c r="F396" s="221"/>
      <c r="G396" s="221"/>
      <c r="H396" s="221"/>
      <c r="I396" s="221"/>
      <c r="J396" s="221"/>
      <c r="K396" s="221"/>
      <c r="L396" s="221"/>
      <c r="M396" s="221"/>
      <c r="N396" s="221"/>
      <c r="O396" s="221"/>
      <c r="P396" s="221"/>
      <c r="Q396" s="221"/>
      <c r="R396" s="221"/>
      <c r="S396" s="221"/>
      <c r="T396" s="221"/>
      <c r="U396" s="221"/>
      <c r="V396" s="221"/>
      <c r="W396" s="221"/>
      <c r="X396" s="221"/>
    </row>
    <row r="397" spans="1:24" ht="14" x14ac:dyDescent="0.3">
      <c r="A397" s="221"/>
      <c r="B397" s="221"/>
      <c r="C397" s="221"/>
      <c r="D397" s="221"/>
      <c r="E397" s="221"/>
      <c r="F397" s="221"/>
      <c r="G397" s="221"/>
      <c r="H397" s="221"/>
      <c r="I397" s="221"/>
      <c r="J397" s="221"/>
      <c r="K397" s="221"/>
      <c r="L397" s="221"/>
      <c r="M397" s="221"/>
      <c r="N397" s="221"/>
      <c r="O397" s="221"/>
      <c r="P397" s="221"/>
      <c r="Q397" s="221"/>
      <c r="R397" s="221"/>
      <c r="S397" s="221"/>
      <c r="T397" s="221"/>
      <c r="U397" s="221"/>
      <c r="V397" s="221"/>
      <c r="W397" s="221"/>
      <c r="X397" s="221"/>
    </row>
    <row r="398" spans="1:24" ht="14" x14ac:dyDescent="0.3">
      <c r="A398" s="221"/>
      <c r="B398" s="221"/>
      <c r="C398" s="221"/>
      <c r="D398" s="221"/>
      <c r="E398" s="221"/>
      <c r="F398" s="221"/>
      <c r="G398" s="221"/>
      <c r="H398" s="221"/>
      <c r="I398" s="221"/>
      <c r="J398" s="221"/>
      <c r="K398" s="221"/>
      <c r="L398" s="221"/>
      <c r="M398" s="221"/>
      <c r="N398" s="221"/>
      <c r="O398" s="221"/>
      <c r="P398" s="221"/>
      <c r="Q398" s="221"/>
      <c r="R398" s="221"/>
      <c r="S398" s="221"/>
      <c r="T398" s="221"/>
      <c r="U398" s="221"/>
      <c r="V398" s="221"/>
      <c r="W398" s="221"/>
      <c r="X398" s="221"/>
    </row>
    <row r="399" spans="1:24" ht="14" x14ac:dyDescent="0.3">
      <c r="A399" s="221"/>
      <c r="B399" s="221"/>
      <c r="C399" s="221"/>
      <c r="D399" s="221"/>
      <c r="E399" s="221"/>
      <c r="F399" s="221"/>
      <c r="G399" s="221"/>
      <c r="H399" s="221"/>
      <c r="I399" s="221"/>
      <c r="J399" s="221"/>
      <c r="K399" s="221"/>
      <c r="L399" s="221"/>
      <c r="M399" s="221"/>
      <c r="N399" s="221"/>
      <c r="O399" s="221"/>
      <c r="P399" s="221"/>
      <c r="Q399" s="221"/>
      <c r="R399" s="221"/>
      <c r="S399" s="221"/>
      <c r="T399" s="221"/>
      <c r="U399" s="221"/>
      <c r="V399" s="221"/>
      <c r="W399" s="221"/>
      <c r="X399" s="221"/>
    </row>
    <row r="400" spans="1:24" ht="14" x14ac:dyDescent="0.3">
      <c r="A400" s="221"/>
      <c r="B400" s="221"/>
      <c r="C400" s="221"/>
      <c r="D400" s="221"/>
      <c r="E400" s="221"/>
      <c r="F400" s="221"/>
      <c r="G400" s="221"/>
      <c r="H400" s="221"/>
      <c r="I400" s="221"/>
      <c r="J400" s="221"/>
      <c r="K400" s="221"/>
      <c r="L400" s="221"/>
      <c r="M400" s="221"/>
      <c r="N400" s="221"/>
      <c r="O400" s="221"/>
      <c r="P400" s="221"/>
      <c r="Q400" s="221"/>
      <c r="R400" s="221"/>
      <c r="S400" s="221"/>
      <c r="T400" s="221"/>
      <c r="U400" s="221"/>
      <c r="V400" s="221"/>
      <c r="W400" s="221"/>
      <c r="X400" s="221"/>
    </row>
    <row r="401" spans="1:24" ht="14" x14ac:dyDescent="0.3">
      <c r="A401" s="221"/>
      <c r="B401" s="221"/>
      <c r="C401" s="221"/>
      <c r="D401" s="221"/>
      <c r="E401" s="221"/>
      <c r="F401" s="221"/>
      <c r="G401" s="221"/>
      <c r="H401" s="221"/>
      <c r="I401" s="221"/>
      <c r="J401" s="221"/>
      <c r="K401" s="221"/>
      <c r="L401" s="221"/>
      <c r="M401" s="221"/>
      <c r="N401" s="221"/>
      <c r="O401" s="221"/>
      <c r="P401" s="221"/>
      <c r="Q401" s="221"/>
      <c r="R401" s="221"/>
      <c r="S401" s="221"/>
      <c r="T401" s="221"/>
      <c r="U401" s="221"/>
      <c r="V401" s="221"/>
      <c r="W401" s="221"/>
      <c r="X401" s="221"/>
    </row>
    <row r="402" spans="1:24" ht="14" x14ac:dyDescent="0.3">
      <c r="A402" s="221"/>
      <c r="B402" s="221"/>
      <c r="C402" s="221"/>
      <c r="D402" s="221"/>
      <c r="E402" s="221"/>
      <c r="F402" s="221"/>
      <c r="G402" s="221"/>
      <c r="H402" s="221"/>
      <c r="I402" s="221"/>
      <c r="J402" s="221"/>
      <c r="K402" s="221"/>
      <c r="L402" s="221"/>
      <c r="M402" s="221"/>
      <c r="N402" s="221"/>
      <c r="O402" s="221"/>
      <c r="P402" s="221"/>
      <c r="Q402" s="221"/>
      <c r="R402" s="221"/>
      <c r="S402" s="221"/>
      <c r="T402" s="221"/>
      <c r="U402" s="221"/>
      <c r="V402" s="221"/>
      <c r="W402" s="221"/>
      <c r="X402" s="221"/>
    </row>
    <row r="403" spans="1:24" ht="14" x14ac:dyDescent="0.3">
      <c r="A403" s="221"/>
      <c r="B403" s="221"/>
      <c r="C403" s="221"/>
      <c r="D403" s="221"/>
      <c r="E403" s="221"/>
      <c r="F403" s="221"/>
      <c r="G403" s="221"/>
      <c r="H403" s="221"/>
      <c r="I403" s="221"/>
      <c r="J403" s="221"/>
      <c r="K403" s="221"/>
      <c r="L403" s="221"/>
      <c r="M403" s="221"/>
      <c r="N403" s="221"/>
      <c r="O403" s="221"/>
      <c r="P403" s="221"/>
      <c r="Q403" s="221"/>
      <c r="R403" s="221"/>
      <c r="S403" s="221"/>
      <c r="T403" s="221"/>
      <c r="U403" s="221"/>
      <c r="V403" s="221"/>
      <c r="W403" s="221"/>
      <c r="X403" s="221"/>
    </row>
    <row r="404" spans="1:24" ht="14" x14ac:dyDescent="0.3">
      <c r="A404" s="221"/>
      <c r="B404" s="221"/>
      <c r="C404" s="221"/>
      <c r="D404" s="221"/>
      <c r="E404" s="221"/>
      <c r="F404" s="221"/>
      <c r="G404" s="221"/>
      <c r="H404" s="221"/>
      <c r="I404" s="221"/>
      <c r="J404" s="221"/>
      <c r="K404" s="221"/>
      <c r="L404" s="221"/>
      <c r="M404" s="221"/>
      <c r="N404" s="221"/>
      <c r="O404" s="221"/>
      <c r="P404" s="221"/>
      <c r="Q404" s="221"/>
      <c r="R404" s="221"/>
      <c r="S404" s="221"/>
      <c r="T404" s="221"/>
      <c r="U404" s="221"/>
      <c r="V404" s="221"/>
      <c r="W404" s="221"/>
      <c r="X404" s="221"/>
    </row>
    <row r="405" spans="1:24" ht="14" x14ac:dyDescent="0.3">
      <c r="A405" s="221"/>
      <c r="B405" s="221"/>
      <c r="C405" s="221"/>
      <c r="D405" s="221"/>
      <c r="E405" s="221"/>
      <c r="F405" s="221"/>
      <c r="G405" s="221"/>
      <c r="H405" s="221"/>
      <c r="I405" s="221"/>
      <c r="J405" s="221"/>
      <c r="K405" s="221"/>
      <c r="L405" s="221"/>
      <c r="M405" s="221"/>
      <c r="N405" s="221"/>
      <c r="O405" s="221"/>
      <c r="P405" s="221"/>
      <c r="Q405" s="221"/>
      <c r="R405" s="221"/>
      <c r="S405" s="221"/>
      <c r="T405" s="221"/>
      <c r="U405" s="221"/>
      <c r="V405" s="221"/>
      <c r="W405" s="221"/>
      <c r="X405" s="221"/>
    </row>
    <row r="406" spans="1:24" ht="14" x14ac:dyDescent="0.3">
      <c r="A406" s="221"/>
      <c r="B406" s="221"/>
      <c r="C406" s="221"/>
      <c r="D406" s="221"/>
      <c r="E406" s="221"/>
      <c r="F406" s="221"/>
      <c r="G406" s="221"/>
      <c r="H406" s="221"/>
      <c r="I406" s="221"/>
      <c r="J406" s="221"/>
      <c r="K406" s="221"/>
      <c r="L406" s="221"/>
      <c r="M406" s="221"/>
      <c r="N406" s="221"/>
      <c r="O406" s="221"/>
      <c r="P406" s="221"/>
      <c r="Q406" s="221"/>
      <c r="R406" s="221"/>
      <c r="S406" s="221"/>
      <c r="T406" s="221"/>
      <c r="U406" s="221"/>
      <c r="V406" s="221"/>
      <c r="W406" s="221"/>
      <c r="X406" s="221"/>
    </row>
    <row r="407" spans="1:24" ht="14" x14ac:dyDescent="0.3">
      <c r="A407" s="221"/>
      <c r="B407" s="221"/>
      <c r="C407" s="221"/>
      <c r="D407" s="221"/>
      <c r="E407" s="221"/>
      <c r="F407" s="221"/>
      <c r="G407" s="221"/>
      <c r="H407" s="221"/>
      <c r="I407" s="221"/>
      <c r="J407" s="221"/>
      <c r="K407" s="221"/>
      <c r="L407" s="221"/>
      <c r="M407" s="221"/>
      <c r="N407" s="221"/>
      <c r="O407" s="221"/>
      <c r="P407" s="221"/>
      <c r="Q407" s="221"/>
      <c r="R407" s="221"/>
      <c r="S407" s="221"/>
      <c r="T407" s="221"/>
      <c r="U407" s="221"/>
      <c r="V407" s="221"/>
      <c r="W407" s="221"/>
      <c r="X407" s="221"/>
    </row>
    <row r="408" spans="1:24" ht="14" x14ac:dyDescent="0.3">
      <c r="A408" s="221"/>
      <c r="B408" s="221"/>
      <c r="C408" s="221"/>
      <c r="D408" s="221"/>
      <c r="E408" s="221"/>
      <c r="F408" s="221"/>
      <c r="G408" s="221"/>
      <c r="H408" s="221"/>
      <c r="I408" s="221"/>
      <c r="J408" s="221"/>
      <c r="K408" s="221"/>
      <c r="L408" s="221"/>
      <c r="M408" s="221"/>
      <c r="N408" s="221"/>
      <c r="O408" s="221"/>
      <c r="P408" s="221"/>
      <c r="Q408" s="221"/>
      <c r="R408" s="221"/>
      <c r="S408" s="221"/>
      <c r="T408" s="221"/>
      <c r="U408" s="221"/>
      <c r="V408" s="221"/>
      <c r="W408" s="221"/>
      <c r="X408" s="221"/>
    </row>
    <row r="409" spans="1:24" ht="14" x14ac:dyDescent="0.3">
      <c r="A409" s="221"/>
      <c r="B409" s="221"/>
      <c r="C409" s="221"/>
      <c r="D409" s="221"/>
      <c r="E409" s="221"/>
      <c r="F409" s="221"/>
      <c r="G409" s="221"/>
      <c r="H409" s="221"/>
      <c r="I409" s="221"/>
      <c r="J409" s="221"/>
      <c r="K409" s="221"/>
      <c r="L409" s="221"/>
      <c r="M409" s="221"/>
      <c r="N409" s="221"/>
      <c r="O409" s="221"/>
      <c r="P409" s="221"/>
      <c r="Q409" s="221"/>
      <c r="R409" s="221"/>
      <c r="S409" s="221"/>
      <c r="T409" s="221"/>
      <c r="U409" s="221"/>
      <c r="V409" s="221"/>
      <c r="W409" s="221"/>
      <c r="X409" s="221"/>
    </row>
    <row r="410" spans="1:24" ht="14" x14ac:dyDescent="0.3">
      <c r="A410" s="221"/>
      <c r="B410" s="221"/>
      <c r="C410" s="221"/>
      <c r="D410" s="221"/>
      <c r="E410" s="221"/>
      <c r="F410" s="221"/>
      <c r="G410" s="221"/>
      <c r="H410" s="221"/>
      <c r="I410" s="221"/>
      <c r="J410" s="221"/>
      <c r="K410" s="221"/>
      <c r="L410" s="221"/>
      <c r="M410" s="221"/>
      <c r="N410" s="221"/>
      <c r="O410" s="221"/>
      <c r="P410" s="221"/>
      <c r="Q410" s="221"/>
      <c r="R410" s="221"/>
      <c r="S410" s="221"/>
      <c r="T410" s="221"/>
      <c r="U410" s="221"/>
      <c r="V410" s="221"/>
      <c r="W410" s="221"/>
      <c r="X410" s="221"/>
    </row>
    <row r="411" spans="1:24" ht="14" x14ac:dyDescent="0.3">
      <c r="A411" s="221"/>
      <c r="B411" s="221"/>
      <c r="C411" s="221"/>
      <c r="D411" s="221"/>
      <c r="E411" s="221"/>
      <c r="F411" s="221"/>
      <c r="G411" s="221"/>
      <c r="H411" s="221"/>
      <c r="I411" s="221"/>
      <c r="J411" s="221"/>
      <c r="K411" s="221"/>
      <c r="L411" s="221"/>
      <c r="M411" s="221"/>
      <c r="N411" s="221"/>
      <c r="O411" s="221"/>
      <c r="P411" s="221"/>
      <c r="Q411" s="221"/>
      <c r="R411" s="221"/>
      <c r="S411" s="221"/>
      <c r="T411" s="221"/>
      <c r="U411" s="221"/>
      <c r="V411" s="221"/>
      <c r="W411" s="221"/>
      <c r="X411" s="221"/>
    </row>
    <row r="412" spans="1:24" ht="14" x14ac:dyDescent="0.3">
      <c r="A412" s="221"/>
      <c r="B412" s="221"/>
      <c r="C412" s="221"/>
      <c r="D412" s="221"/>
      <c r="E412" s="221"/>
      <c r="F412" s="221"/>
      <c r="G412" s="221"/>
      <c r="H412" s="221"/>
      <c r="I412" s="221"/>
      <c r="J412" s="221"/>
      <c r="K412" s="221"/>
      <c r="L412" s="221"/>
      <c r="M412" s="221"/>
      <c r="N412" s="221"/>
      <c r="O412" s="221"/>
      <c r="P412" s="221"/>
      <c r="Q412" s="221"/>
      <c r="R412" s="221"/>
      <c r="S412" s="221"/>
      <c r="T412" s="221"/>
      <c r="U412" s="221"/>
      <c r="V412" s="221"/>
      <c r="W412" s="221"/>
      <c r="X412" s="221"/>
    </row>
    <row r="413" spans="1:24" ht="14" x14ac:dyDescent="0.3">
      <c r="A413" s="221"/>
      <c r="B413" s="221"/>
      <c r="C413" s="221"/>
      <c r="D413" s="221"/>
      <c r="E413" s="221"/>
      <c r="F413" s="221"/>
      <c r="G413" s="221"/>
      <c r="H413" s="221"/>
      <c r="I413" s="221"/>
      <c r="J413" s="221"/>
      <c r="K413" s="221"/>
      <c r="L413" s="221"/>
      <c r="M413" s="221"/>
      <c r="N413" s="221"/>
      <c r="O413" s="221"/>
      <c r="P413" s="221"/>
      <c r="Q413" s="221"/>
      <c r="R413" s="221"/>
      <c r="S413" s="221"/>
      <c r="T413" s="221"/>
      <c r="U413" s="221"/>
      <c r="V413" s="221"/>
      <c r="W413" s="221"/>
      <c r="X413" s="221"/>
    </row>
    <row r="414" spans="1:24" ht="14" x14ac:dyDescent="0.3">
      <c r="A414" s="221"/>
      <c r="B414" s="221"/>
      <c r="C414" s="221"/>
      <c r="D414" s="221"/>
      <c r="E414" s="221"/>
      <c r="F414" s="221"/>
      <c r="G414" s="221"/>
      <c r="H414" s="221"/>
      <c r="I414" s="221"/>
      <c r="J414" s="221"/>
      <c r="K414" s="221"/>
      <c r="L414" s="221"/>
      <c r="M414" s="221"/>
      <c r="N414" s="221"/>
      <c r="O414" s="221"/>
      <c r="P414" s="221"/>
      <c r="Q414" s="221"/>
      <c r="R414" s="221"/>
      <c r="S414" s="221"/>
      <c r="T414" s="221"/>
      <c r="U414" s="221"/>
      <c r="V414" s="221"/>
      <c r="W414" s="221"/>
      <c r="X414" s="221"/>
    </row>
    <row r="415" spans="1:24" ht="14" x14ac:dyDescent="0.3">
      <c r="A415" s="221"/>
      <c r="B415" s="221"/>
      <c r="C415" s="221"/>
      <c r="D415" s="221"/>
      <c r="E415" s="221"/>
      <c r="F415" s="221"/>
      <c r="G415" s="221"/>
      <c r="H415" s="221"/>
      <c r="I415" s="221"/>
      <c r="J415" s="221"/>
      <c r="K415" s="221"/>
      <c r="L415" s="221"/>
      <c r="M415" s="221"/>
      <c r="N415" s="221"/>
      <c r="O415" s="221"/>
      <c r="P415" s="221"/>
      <c r="Q415" s="221"/>
      <c r="R415" s="221"/>
      <c r="S415" s="221"/>
      <c r="T415" s="221"/>
      <c r="U415" s="221"/>
      <c r="V415" s="221"/>
      <c r="W415" s="221"/>
      <c r="X415" s="221"/>
    </row>
    <row r="416" spans="1:24" ht="14" x14ac:dyDescent="0.3">
      <c r="A416" s="221"/>
      <c r="B416" s="221"/>
      <c r="C416" s="221"/>
      <c r="D416" s="221"/>
      <c r="E416" s="221"/>
      <c r="F416" s="221"/>
      <c r="G416" s="221"/>
      <c r="H416" s="221"/>
      <c r="I416" s="221"/>
      <c r="J416" s="221"/>
      <c r="K416" s="221"/>
      <c r="L416" s="221"/>
      <c r="M416" s="221"/>
      <c r="N416" s="221"/>
      <c r="O416" s="221"/>
      <c r="P416" s="221"/>
      <c r="Q416" s="221"/>
      <c r="R416" s="221"/>
      <c r="S416" s="221"/>
      <c r="T416" s="221"/>
      <c r="U416" s="221"/>
      <c r="V416" s="221"/>
      <c r="W416" s="221"/>
      <c r="X416" s="221"/>
    </row>
    <row r="417" spans="1:24" ht="14" x14ac:dyDescent="0.3">
      <c r="A417" s="221"/>
      <c r="B417" s="221"/>
      <c r="C417" s="221"/>
      <c r="D417" s="221"/>
      <c r="E417" s="221"/>
      <c r="F417" s="221"/>
      <c r="G417" s="221"/>
      <c r="H417" s="221"/>
      <c r="I417" s="221"/>
      <c r="J417" s="221"/>
      <c r="K417" s="221"/>
      <c r="L417" s="221"/>
      <c r="M417" s="221"/>
      <c r="N417" s="221"/>
      <c r="O417" s="221"/>
      <c r="P417" s="221"/>
      <c r="Q417" s="221"/>
      <c r="R417" s="221"/>
      <c r="S417" s="221"/>
      <c r="T417" s="221"/>
      <c r="U417" s="221"/>
      <c r="V417" s="221"/>
      <c r="W417" s="221"/>
      <c r="X417" s="221"/>
    </row>
    <row r="418" spans="1:24" ht="14" x14ac:dyDescent="0.3">
      <c r="A418" s="221"/>
      <c r="B418" s="221"/>
      <c r="C418" s="221"/>
      <c r="D418" s="221"/>
      <c r="E418" s="221"/>
      <c r="F418" s="221"/>
      <c r="G418" s="221"/>
      <c r="H418" s="221"/>
      <c r="I418" s="221"/>
      <c r="J418" s="221"/>
      <c r="K418" s="221"/>
      <c r="L418" s="221"/>
      <c r="M418" s="221"/>
      <c r="N418" s="221"/>
      <c r="O418" s="221"/>
      <c r="P418" s="221"/>
      <c r="Q418" s="221"/>
      <c r="R418" s="221"/>
      <c r="S418" s="221"/>
      <c r="T418" s="221"/>
      <c r="U418" s="221"/>
      <c r="V418" s="221"/>
      <c r="W418" s="221"/>
      <c r="X418" s="221"/>
    </row>
    <row r="419" spans="1:24" ht="14" x14ac:dyDescent="0.3">
      <c r="A419" s="221"/>
      <c r="B419" s="221"/>
      <c r="C419" s="221"/>
      <c r="D419" s="221"/>
      <c r="E419" s="221"/>
      <c r="F419" s="221"/>
      <c r="G419" s="221"/>
      <c r="H419" s="221"/>
      <c r="I419" s="221"/>
      <c r="J419" s="221"/>
      <c r="K419" s="221"/>
      <c r="L419" s="221"/>
      <c r="M419" s="221"/>
      <c r="N419" s="221"/>
      <c r="O419" s="221"/>
      <c r="P419" s="221"/>
      <c r="Q419" s="221"/>
      <c r="R419" s="221"/>
      <c r="S419" s="221"/>
      <c r="T419" s="221"/>
      <c r="U419" s="221"/>
      <c r="V419" s="221"/>
      <c r="W419" s="221"/>
      <c r="X419" s="221"/>
    </row>
    <row r="420" spans="1:24" ht="14" x14ac:dyDescent="0.3">
      <c r="A420" s="221"/>
      <c r="B420" s="221"/>
      <c r="C420" s="221"/>
      <c r="D420" s="221"/>
      <c r="E420" s="221"/>
      <c r="F420" s="221"/>
      <c r="G420" s="221"/>
      <c r="H420" s="221"/>
      <c r="I420" s="221"/>
      <c r="J420" s="221"/>
      <c r="K420" s="221"/>
      <c r="L420" s="221"/>
      <c r="M420" s="221"/>
      <c r="N420" s="221"/>
      <c r="O420" s="221"/>
      <c r="P420" s="221"/>
      <c r="Q420" s="221"/>
      <c r="R420" s="221"/>
      <c r="S420" s="221"/>
      <c r="T420" s="221"/>
      <c r="U420" s="221"/>
      <c r="V420" s="221"/>
      <c r="W420" s="221"/>
      <c r="X420" s="221"/>
    </row>
    <row r="421" spans="1:24" ht="14" x14ac:dyDescent="0.3">
      <c r="A421" s="221"/>
      <c r="B421" s="221"/>
      <c r="C421" s="221"/>
      <c r="D421" s="221"/>
      <c r="E421" s="221"/>
      <c r="F421" s="221"/>
      <c r="G421" s="221"/>
      <c r="H421" s="221"/>
      <c r="I421" s="221"/>
      <c r="J421" s="221"/>
      <c r="K421" s="221"/>
      <c r="L421" s="221"/>
      <c r="M421" s="221"/>
      <c r="N421" s="221"/>
      <c r="O421" s="221"/>
      <c r="P421" s="221"/>
      <c r="Q421" s="221"/>
      <c r="R421" s="221"/>
      <c r="S421" s="221"/>
      <c r="T421" s="221"/>
      <c r="U421" s="221"/>
      <c r="V421" s="221"/>
      <c r="W421" s="221"/>
      <c r="X421" s="221"/>
    </row>
    <row r="422" spans="1:24" ht="14" x14ac:dyDescent="0.3">
      <c r="A422" s="221"/>
      <c r="B422" s="221"/>
      <c r="C422" s="221"/>
      <c r="D422" s="221"/>
      <c r="E422" s="221"/>
      <c r="F422" s="221"/>
      <c r="G422" s="221"/>
      <c r="H422" s="221"/>
      <c r="I422" s="221"/>
      <c r="J422" s="221"/>
      <c r="K422" s="221"/>
      <c r="L422" s="221"/>
      <c r="M422" s="221"/>
      <c r="N422" s="221"/>
      <c r="O422" s="221"/>
      <c r="P422" s="221"/>
      <c r="Q422" s="221"/>
      <c r="R422" s="221"/>
      <c r="S422" s="221"/>
      <c r="T422" s="221"/>
      <c r="U422" s="221"/>
      <c r="V422" s="221"/>
      <c r="W422" s="221"/>
      <c r="X422" s="221"/>
    </row>
    <row r="423" spans="1:24" ht="14" x14ac:dyDescent="0.3">
      <c r="A423" s="221"/>
      <c r="B423" s="221"/>
      <c r="C423" s="221"/>
      <c r="D423" s="221"/>
      <c r="E423" s="221"/>
      <c r="F423" s="221"/>
      <c r="G423" s="221"/>
      <c r="H423" s="221"/>
      <c r="I423" s="221"/>
      <c r="J423" s="221"/>
      <c r="K423" s="221"/>
      <c r="L423" s="221"/>
      <c r="M423" s="221"/>
      <c r="N423" s="221"/>
      <c r="O423" s="221"/>
      <c r="P423" s="221"/>
      <c r="Q423" s="221"/>
      <c r="R423" s="221"/>
      <c r="S423" s="221"/>
      <c r="T423" s="221"/>
      <c r="U423" s="221"/>
      <c r="V423" s="221"/>
      <c r="W423" s="221"/>
      <c r="X423" s="221"/>
    </row>
    <row r="424" spans="1:24" ht="14" x14ac:dyDescent="0.3">
      <c r="A424" s="221"/>
      <c r="B424" s="221"/>
      <c r="C424" s="221"/>
      <c r="D424" s="221"/>
      <c r="E424" s="221"/>
      <c r="F424" s="221"/>
      <c r="G424" s="221"/>
      <c r="H424" s="221"/>
      <c r="I424" s="221"/>
      <c r="J424" s="221"/>
      <c r="K424" s="221"/>
      <c r="L424" s="221"/>
      <c r="M424" s="221"/>
      <c r="N424" s="221"/>
      <c r="O424" s="221"/>
      <c r="P424" s="221"/>
      <c r="Q424" s="221"/>
      <c r="R424" s="221"/>
      <c r="S424" s="221"/>
      <c r="T424" s="221"/>
      <c r="U424" s="221"/>
      <c r="V424" s="221"/>
      <c r="W424" s="221"/>
      <c r="X424" s="221"/>
    </row>
    <row r="425" spans="1:24" ht="14" x14ac:dyDescent="0.3">
      <c r="A425" s="221"/>
      <c r="B425" s="221"/>
      <c r="C425" s="221"/>
      <c r="D425" s="221"/>
      <c r="E425" s="221"/>
      <c r="F425" s="221"/>
      <c r="G425" s="221"/>
      <c r="H425" s="221"/>
      <c r="I425" s="221"/>
      <c r="J425" s="221"/>
      <c r="K425" s="221"/>
      <c r="L425" s="221"/>
      <c r="M425" s="221"/>
      <c r="N425" s="221"/>
      <c r="O425" s="221"/>
      <c r="P425" s="221"/>
      <c r="Q425" s="221"/>
      <c r="R425" s="221"/>
      <c r="S425" s="221"/>
      <c r="T425" s="221"/>
      <c r="U425" s="221"/>
      <c r="V425" s="221"/>
      <c r="W425" s="221"/>
      <c r="X425" s="221"/>
    </row>
    <row r="426" spans="1:24" ht="14" x14ac:dyDescent="0.3">
      <c r="A426" s="221"/>
      <c r="B426" s="221"/>
      <c r="C426" s="221"/>
      <c r="D426" s="221"/>
      <c r="E426" s="221"/>
      <c r="F426" s="221"/>
      <c r="G426" s="221"/>
      <c r="H426" s="221"/>
      <c r="I426" s="221"/>
      <c r="J426" s="221"/>
      <c r="K426" s="221"/>
      <c r="L426" s="221"/>
      <c r="M426" s="221"/>
      <c r="N426" s="221"/>
      <c r="O426" s="221"/>
      <c r="P426" s="221"/>
      <c r="Q426" s="221"/>
      <c r="R426" s="221"/>
      <c r="S426" s="221"/>
      <c r="T426" s="221"/>
      <c r="U426" s="221"/>
      <c r="V426" s="221"/>
      <c r="W426" s="221"/>
      <c r="X426" s="221"/>
    </row>
    <row r="427" spans="1:24" ht="14" x14ac:dyDescent="0.3">
      <c r="A427" s="221"/>
      <c r="B427" s="221"/>
      <c r="C427" s="221"/>
      <c r="D427" s="221"/>
      <c r="E427" s="221"/>
      <c r="F427" s="221"/>
      <c r="G427" s="221"/>
      <c r="H427" s="221"/>
      <c r="I427" s="221"/>
      <c r="J427" s="221"/>
      <c r="K427" s="221"/>
      <c r="L427" s="221"/>
      <c r="M427" s="221"/>
      <c r="N427" s="221"/>
      <c r="O427" s="221"/>
      <c r="P427" s="221"/>
      <c r="Q427" s="221"/>
      <c r="R427" s="221"/>
      <c r="S427" s="221"/>
      <c r="T427" s="221"/>
      <c r="U427" s="221"/>
      <c r="V427" s="221"/>
      <c r="W427" s="221"/>
      <c r="X427" s="221"/>
    </row>
    <row r="428" spans="1:24" ht="14" x14ac:dyDescent="0.3">
      <c r="A428" s="221"/>
      <c r="B428" s="221"/>
      <c r="C428" s="221"/>
      <c r="D428" s="221"/>
      <c r="E428" s="221"/>
      <c r="F428" s="221"/>
      <c r="G428" s="221"/>
      <c r="H428" s="221"/>
      <c r="I428" s="221"/>
      <c r="J428" s="221"/>
      <c r="K428" s="221"/>
      <c r="L428" s="221"/>
      <c r="M428" s="221"/>
      <c r="N428" s="221"/>
      <c r="O428" s="221"/>
      <c r="P428" s="221"/>
      <c r="Q428" s="221"/>
      <c r="R428" s="221"/>
      <c r="S428" s="221"/>
      <c r="T428" s="221"/>
      <c r="U428" s="221"/>
      <c r="V428" s="221"/>
      <c r="W428" s="221"/>
      <c r="X428" s="221"/>
    </row>
    <row r="429" spans="1:24" ht="14" x14ac:dyDescent="0.3">
      <c r="A429" s="221"/>
      <c r="B429" s="221"/>
      <c r="C429" s="221"/>
      <c r="D429" s="221"/>
      <c r="E429" s="221"/>
      <c r="F429" s="221"/>
      <c r="G429" s="221"/>
      <c r="H429" s="221"/>
      <c r="I429" s="221"/>
      <c r="J429" s="221"/>
      <c r="K429" s="221"/>
      <c r="L429" s="221"/>
      <c r="M429" s="221"/>
      <c r="N429" s="221"/>
      <c r="O429" s="221"/>
      <c r="P429" s="221"/>
      <c r="Q429" s="221"/>
      <c r="R429" s="221"/>
      <c r="S429" s="221"/>
      <c r="T429" s="221"/>
      <c r="U429" s="221"/>
      <c r="V429" s="221"/>
      <c r="W429" s="221"/>
      <c r="X429" s="221"/>
    </row>
    <row r="430" spans="1:24" ht="14" x14ac:dyDescent="0.3">
      <c r="A430" s="221"/>
      <c r="B430" s="221"/>
      <c r="C430" s="221"/>
      <c r="D430" s="221"/>
      <c r="E430" s="221"/>
      <c r="F430" s="221"/>
      <c r="G430" s="221"/>
      <c r="H430" s="221"/>
      <c r="I430" s="221"/>
      <c r="J430" s="221"/>
      <c r="K430" s="221"/>
      <c r="L430" s="221"/>
      <c r="M430" s="221"/>
      <c r="N430" s="221"/>
      <c r="O430" s="221"/>
      <c r="P430" s="221"/>
      <c r="Q430" s="221"/>
      <c r="R430" s="221"/>
      <c r="S430" s="221"/>
      <c r="T430" s="221"/>
      <c r="U430" s="221"/>
      <c r="V430" s="221"/>
      <c r="W430" s="221"/>
      <c r="X430" s="221"/>
    </row>
    <row r="431" spans="1:24" ht="14" x14ac:dyDescent="0.3">
      <c r="A431" s="221"/>
      <c r="B431" s="221"/>
      <c r="C431" s="221"/>
      <c r="D431" s="221"/>
      <c r="E431" s="221"/>
      <c r="F431" s="221"/>
      <c r="G431" s="221"/>
      <c r="H431" s="221"/>
      <c r="I431" s="221"/>
      <c r="J431" s="221"/>
      <c r="K431" s="221"/>
      <c r="L431" s="221"/>
      <c r="M431" s="221"/>
      <c r="N431" s="221"/>
      <c r="O431" s="221"/>
      <c r="P431" s="221"/>
      <c r="Q431" s="221"/>
      <c r="R431" s="221"/>
      <c r="S431" s="221"/>
      <c r="T431" s="221"/>
      <c r="U431" s="221"/>
      <c r="V431" s="221"/>
      <c r="W431" s="221"/>
      <c r="X431" s="221"/>
    </row>
    <row r="432" spans="1:24" ht="14" x14ac:dyDescent="0.3">
      <c r="A432" s="221"/>
      <c r="B432" s="221"/>
      <c r="C432" s="221"/>
      <c r="D432" s="221"/>
      <c r="E432" s="221"/>
      <c r="F432" s="221"/>
      <c r="G432" s="221"/>
      <c r="H432" s="221"/>
      <c r="I432" s="221"/>
      <c r="J432" s="221"/>
      <c r="K432" s="221"/>
      <c r="L432" s="221"/>
      <c r="M432" s="221"/>
      <c r="N432" s="221"/>
      <c r="O432" s="221"/>
      <c r="P432" s="221"/>
      <c r="Q432" s="221"/>
      <c r="R432" s="221"/>
      <c r="S432" s="221"/>
      <c r="T432" s="221"/>
      <c r="U432" s="221"/>
      <c r="V432" s="221"/>
      <c r="W432" s="221"/>
      <c r="X432" s="221"/>
    </row>
    <row r="433" spans="1:24" ht="14" x14ac:dyDescent="0.3">
      <c r="A433" s="221"/>
      <c r="B433" s="221"/>
      <c r="C433" s="221"/>
      <c r="D433" s="221"/>
      <c r="E433" s="221"/>
      <c r="F433" s="221"/>
      <c r="G433" s="221"/>
      <c r="H433" s="221"/>
      <c r="I433" s="221"/>
      <c r="J433" s="221"/>
      <c r="K433" s="221"/>
      <c r="L433" s="221"/>
      <c r="M433" s="221"/>
      <c r="N433" s="221"/>
      <c r="O433" s="221"/>
      <c r="P433" s="221"/>
      <c r="Q433" s="221"/>
      <c r="R433" s="221"/>
      <c r="S433" s="221"/>
      <c r="T433" s="221"/>
      <c r="U433" s="221"/>
      <c r="V433" s="221"/>
      <c r="W433" s="221"/>
      <c r="X433" s="221"/>
    </row>
    <row r="434" spans="1:24" ht="14" x14ac:dyDescent="0.3">
      <c r="A434" s="221"/>
      <c r="B434" s="221"/>
      <c r="C434" s="221"/>
      <c r="D434" s="221"/>
      <c r="E434" s="221"/>
      <c r="F434" s="221"/>
      <c r="G434" s="221"/>
      <c r="H434" s="221"/>
      <c r="I434" s="221"/>
      <c r="J434" s="221"/>
      <c r="K434" s="221"/>
      <c r="L434" s="221"/>
      <c r="M434" s="221"/>
      <c r="N434" s="221"/>
      <c r="O434" s="221"/>
      <c r="P434" s="221"/>
      <c r="Q434" s="221"/>
      <c r="R434" s="221"/>
      <c r="S434" s="221"/>
      <c r="T434" s="221"/>
      <c r="U434" s="221"/>
      <c r="V434" s="221"/>
      <c r="W434" s="221"/>
      <c r="X434" s="221"/>
    </row>
    <row r="435" spans="1:24" ht="14" x14ac:dyDescent="0.3">
      <c r="A435" s="221"/>
      <c r="B435" s="221"/>
      <c r="C435" s="221"/>
      <c r="D435" s="221"/>
      <c r="E435" s="221"/>
      <c r="F435" s="221"/>
      <c r="G435" s="221"/>
      <c r="H435" s="221"/>
      <c r="I435" s="221"/>
      <c r="J435" s="221"/>
      <c r="K435" s="221"/>
      <c r="L435" s="221"/>
      <c r="M435" s="221"/>
      <c r="N435" s="221"/>
      <c r="O435" s="221"/>
      <c r="P435" s="221"/>
      <c r="Q435" s="221"/>
      <c r="R435" s="221"/>
      <c r="S435" s="221"/>
      <c r="T435" s="221"/>
      <c r="U435" s="221"/>
      <c r="V435" s="221"/>
      <c r="W435" s="221"/>
      <c r="X435" s="221"/>
    </row>
    <row r="436" spans="1:24" ht="14" x14ac:dyDescent="0.3">
      <c r="A436" s="221"/>
      <c r="B436" s="221"/>
      <c r="C436" s="221"/>
      <c r="D436" s="221"/>
      <c r="E436" s="221"/>
      <c r="F436" s="221"/>
      <c r="G436" s="221"/>
      <c r="H436" s="221"/>
      <c r="I436" s="221"/>
      <c r="J436" s="221"/>
      <c r="K436" s="221"/>
      <c r="L436" s="221"/>
      <c r="M436" s="221"/>
      <c r="N436" s="221"/>
      <c r="O436" s="221"/>
      <c r="P436" s="221"/>
      <c r="Q436" s="221"/>
      <c r="R436" s="221"/>
      <c r="S436" s="221"/>
      <c r="T436" s="221"/>
      <c r="U436" s="221"/>
      <c r="V436" s="221"/>
      <c r="W436" s="221"/>
      <c r="X436" s="221"/>
    </row>
    <row r="437" spans="1:24" ht="14" x14ac:dyDescent="0.3">
      <c r="A437" s="221"/>
      <c r="B437" s="221"/>
      <c r="C437" s="221"/>
      <c r="D437" s="221"/>
      <c r="E437" s="221"/>
      <c r="F437" s="221"/>
      <c r="G437" s="221"/>
      <c r="H437" s="221"/>
      <c r="I437" s="221"/>
      <c r="J437" s="221"/>
      <c r="K437" s="221"/>
      <c r="L437" s="221"/>
      <c r="M437" s="221"/>
      <c r="N437" s="221"/>
      <c r="O437" s="221"/>
      <c r="P437" s="221"/>
      <c r="Q437" s="221"/>
      <c r="R437" s="221"/>
      <c r="S437" s="221"/>
      <c r="T437" s="221"/>
      <c r="U437" s="221"/>
      <c r="V437" s="221"/>
      <c r="W437" s="221"/>
      <c r="X437" s="221"/>
    </row>
    <row r="438" spans="1:24" ht="14" x14ac:dyDescent="0.3">
      <c r="A438" s="221"/>
      <c r="B438" s="221"/>
      <c r="C438" s="221"/>
      <c r="D438" s="221"/>
      <c r="E438" s="221"/>
      <c r="F438" s="221"/>
      <c r="G438" s="221"/>
      <c r="H438" s="221"/>
      <c r="I438" s="221"/>
      <c r="J438" s="221"/>
      <c r="K438" s="221"/>
      <c r="L438" s="221"/>
      <c r="M438" s="221"/>
      <c r="N438" s="221"/>
      <c r="O438" s="221"/>
      <c r="P438" s="221"/>
      <c r="Q438" s="221"/>
      <c r="R438" s="221"/>
      <c r="S438" s="221"/>
      <c r="T438" s="221"/>
      <c r="U438" s="221"/>
      <c r="V438" s="221"/>
      <c r="W438" s="221"/>
      <c r="X438" s="221"/>
    </row>
    <row r="439" spans="1:24" ht="14" x14ac:dyDescent="0.3">
      <c r="A439" s="221"/>
      <c r="B439" s="221"/>
      <c r="C439" s="221"/>
      <c r="D439" s="221"/>
      <c r="E439" s="221"/>
      <c r="F439" s="221"/>
      <c r="G439" s="221"/>
      <c r="H439" s="221"/>
      <c r="I439" s="221"/>
      <c r="J439" s="221"/>
      <c r="K439" s="221"/>
      <c r="L439" s="221"/>
      <c r="M439" s="221"/>
      <c r="N439" s="221"/>
      <c r="O439" s="221"/>
      <c r="P439" s="221"/>
      <c r="Q439" s="221"/>
      <c r="R439" s="221"/>
      <c r="S439" s="221"/>
      <c r="T439" s="221"/>
      <c r="U439" s="221"/>
      <c r="V439" s="221"/>
      <c r="W439" s="221"/>
      <c r="X439" s="221"/>
    </row>
    <row r="440" spans="1:24" ht="14" x14ac:dyDescent="0.3">
      <c r="A440" s="221"/>
      <c r="B440" s="221"/>
      <c r="C440" s="221"/>
      <c r="D440" s="221"/>
      <c r="E440" s="221"/>
      <c r="F440" s="221"/>
      <c r="G440" s="221"/>
      <c r="H440" s="221"/>
      <c r="I440" s="221"/>
      <c r="J440" s="221"/>
      <c r="K440" s="221"/>
      <c r="L440" s="221"/>
      <c r="M440" s="221"/>
      <c r="N440" s="221"/>
      <c r="O440" s="221"/>
      <c r="P440" s="221"/>
      <c r="Q440" s="221"/>
      <c r="R440" s="221"/>
      <c r="S440" s="221"/>
      <c r="T440" s="221"/>
      <c r="U440" s="221"/>
      <c r="V440" s="221"/>
      <c r="W440" s="221"/>
      <c r="X440" s="221"/>
    </row>
    <row r="441" spans="1:24" ht="14" x14ac:dyDescent="0.3">
      <c r="A441" s="221"/>
      <c r="B441" s="221"/>
      <c r="C441" s="221"/>
      <c r="D441" s="221"/>
      <c r="E441" s="221"/>
      <c r="F441" s="221"/>
      <c r="G441" s="221"/>
      <c r="H441" s="221"/>
      <c r="I441" s="221"/>
      <c r="J441" s="221"/>
      <c r="K441" s="221"/>
      <c r="L441" s="221"/>
      <c r="M441" s="221"/>
      <c r="N441" s="221"/>
      <c r="O441" s="221"/>
      <c r="P441" s="221"/>
      <c r="Q441" s="221"/>
      <c r="R441" s="221"/>
      <c r="S441" s="221"/>
      <c r="T441" s="221"/>
      <c r="U441" s="221"/>
      <c r="V441" s="221"/>
      <c r="W441" s="221"/>
      <c r="X441" s="221"/>
    </row>
    <row r="442" spans="1:24" ht="14" x14ac:dyDescent="0.3">
      <c r="A442" s="221"/>
      <c r="B442" s="221"/>
      <c r="C442" s="221"/>
      <c r="D442" s="221"/>
      <c r="E442" s="221"/>
      <c r="F442" s="221"/>
      <c r="G442" s="221"/>
      <c r="H442" s="221"/>
      <c r="I442" s="221"/>
      <c r="J442" s="221"/>
      <c r="K442" s="221"/>
      <c r="L442" s="221"/>
      <c r="M442" s="221"/>
      <c r="N442" s="221"/>
      <c r="O442" s="221"/>
      <c r="P442" s="221"/>
      <c r="Q442" s="221"/>
      <c r="R442" s="221"/>
      <c r="S442" s="221"/>
      <c r="T442" s="221"/>
      <c r="U442" s="221"/>
      <c r="V442" s="221"/>
      <c r="W442" s="221"/>
      <c r="X442" s="221"/>
    </row>
    <row r="443" spans="1:24" ht="14" x14ac:dyDescent="0.3">
      <c r="A443" s="221"/>
      <c r="B443" s="221"/>
      <c r="C443" s="221"/>
      <c r="D443" s="221"/>
      <c r="E443" s="221"/>
      <c r="F443" s="221"/>
      <c r="G443" s="221"/>
      <c r="H443" s="221"/>
      <c r="I443" s="221"/>
      <c r="J443" s="221"/>
      <c r="K443" s="221"/>
      <c r="L443" s="221"/>
      <c r="M443" s="221"/>
      <c r="N443" s="221"/>
      <c r="O443" s="221"/>
      <c r="P443" s="221"/>
      <c r="Q443" s="221"/>
      <c r="R443" s="221"/>
      <c r="S443" s="221"/>
      <c r="T443" s="221"/>
      <c r="U443" s="221"/>
      <c r="V443" s="221"/>
      <c r="W443" s="221"/>
      <c r="X443" s="221"/>
    </row>
    <row r="444" spans="1:24" ht="14" x14ac:dyDescent="0.3">
      <c r="A444" s="221"/>
      <c r="B444" s="221"/>
      <c r="C444" s="221"/>
      <c r="D444" s="221"/>
      <c r="E444" s="221"/>
      <c r="F444" s="221"/>
      <c r="G444" s="221"/>
      <c r="H444" s="221"/>
      <c r="I444" s="221"/>
      <c r="J444" s="221"/>
      <c r="K444" s="221"/>
      <c r="L444" s="221"/>
      <c r="M444" s="221"/>
      <c r="N444" s="221"/>
      <c r="O444" s="221"/>
      <c r="P444" s="221"/>
      <c r="Q444" s="221"/>
      <c r="R444" s="221"/>
      <c r="S444" s="221"/>
      <c r="T444" s="221"/>
      <c r="U444" s="221"/>
      <c r="V444" s="221"/>
      <c r="W444" s="221"/>
      <c r="X444" s="221"/>
    </row>
    <row r="445" spans="1:24" ht="14" x14ac:dyDescent="0.3">
      <c r="A445" s="221"/>
      <c r="B445" s="221"/>
      <c r="C445" s="221"/>
      <c r="D445" s="221"/>
      <c r="E445" s="221"/>
      <c r="F445" s="221"/>
      <c r="G445" s="221"/>
      <c r="H445" s="221"/>
      <c r="I445" s="221"/>
      <c r="J445" s="221"/>
      <c r="K445" s="221"/>
      <c r="L445" s="221"/>
      <c r="M445" s="221"/>
      <c r="N445" s="221"/>
      <c r="O445" s="221"/>
      <c r="P445" s="221"/>
      <c r="Q445" s="221"/>
      <c r="R445" s="221"/>
      <c r="S445" s="221"/>
      <c r="T445" s="221"/>
      <c r="U445" s="221"/>
      <c r="V445" s="221"/>
      <c r="W445" s="221"/>
      <c r="X445" s="221"/>
    </row>
    <row r="446" spans="1:24" ht="14" x14ac:dyDescent="0.3">
      <c r="A446" s="221"/>
      <c r="B446" s="221"/>
      <c r="C446" s="221"/>
      <c r="D446" s="221"/>
      <c r="E446" s="221"/>
      <c r="F446" s="221"/>
      <c r="G446" s="221"/>
      <c r="H446" s="221"/>
      <c r="I446" s="221"/>
      <c r="J446" s="221"/>
      <c r="K446" s="221"/>
      <c r="L446" s="221"/>
      <c r="M446" s="221"/>
      <c r="N446" s="221"/>
      <c r="O446" s="221"/>
      <c r="P446" s="221"/>
      <c r="Q446" s="221"/>
      <c r="R446" s="221"/>
      <c r="S446" s="221"/>
      <c r="T446" s="221"/>
      <c r="U446" s="221"/>
      <c r="V446" s="221"/>
      <c r="W446" s="221"/>
      <c r="X446" s="221"/>
    </row>
    <row r="447" spans="1:24" ht="14" x14ac:dyDescent="0.3">
      <c r="A447" s="221"/>
      <c r="B447" s="221"/>
      <c r="C447" s="221"/>
      <c r="D447" s="221"/>
      <c r="E447" s="221"/>
      <c r="F447" s="221"/>
      <c r="G447" s="221"/>
      <c r="H447" s="221"/>
      <c r="I447" s="221"/>
      <c r="J447" s="221"/>
      <c r="K447" s="221"/>
      <c r="L447" s="221"/>
      <c r="M447" s="221"/>
      <c r="N447" s="221"/>
      <c r="O447" s="221"/>
      <c r="P447" s="221"/>
      <c r="Q447" s="221"/>
      <c r="R447" s="221"/>
      <c r="S447" s="221"/>
      <c r="T447" s="221"/>
      <c r="U447" s="221"/>
      <c r="V447" s="221"/>
      <c r="W447" s="221"/>
      <c r="X447" s="221"/>
    </row>
    <row r="448" spans="1:24" ht="14" x14ac:dyDescent="0.3">
      <c r="A448" s="221"/>
      <c r="B448" s="221"/>
      <c r="C448" s="221"/>
      <c r="D448" s="221"/>
      <c r="E448" s="221"/>
      <c r="F448" s="221"/>
      <c r="G448" s="221"/>
      <c r="H448" s="221"/>
      <c r="I448" s="221"/>
      <c r="J448" s="221"/>
      <c r="K448" s="221"/>
      <c r="L448" s="221"/>
      <c r="M448" s="221"/>
      <c r="N448" s="221"/>
      <c r="O448" s="221"/>
      <c r="P448" s="221"/>
      <c r="Q448" s="221"/>
      <c r="R448" s="221"/>
      <c r="S448" s="221"/>
      <c r="T448" s="221"/>
      <c r="U448" s="221"/>
      <c r="V448" s="221"/>
      <c r="W448" s="221"/>
      <c r="X448" s="221"/>
    </row>
    <row r="449" spans="1:24" ht="14" x14ac:dyDescent="0.3">
      <c r="A449" s="221"/>
      <c r="B449" s="221"/>
      <c r="C449" s="221"/>
      <c r="D449" s="221"/>
      <c r="E449" s="221"/>
      <c r="F449" s="221"/>
      <c r="G449" s="221"/>
      <c r="H449" s="221"/>
      <c r="I449" s="221"/>
      <c r="J449" s="221"/>
      <c r="K449" s="221"/>
      <c r="L449" s="221"/>
      <c r="M449" s="221"/>
      <c r="N449" s="221"/>
      <c r="O449" s="221"/>
      <c r="P449" s="221"/>
      <c r="Q449" s="221"/>
      <c r="R449" s="221"/>
      <c r="S449" s="221"/>
      <c r="T449" s="221"/>
      <c r="U449" s="221"/>
      <c r="V449" s="221"/>
      <c r="W449" s="221"/>
      <c r="X449" s="221"/>
    </row>
    <row r="450" spans="1:24" ht="14" x14ac:dyDescent="0.3">
      <c r="A450" s="221"/>
      <c r="B450" s="221"/>
      <c r="C450" s="221"/>
      <c r="D450" s="221"/>
      <c r="E450" s="221"/>
      <c r="F450" s="221"/>
      <c r="G450" s="221"/>
      <c r="H450" s="221"/>
      <c r="I450" s="221"/>
      <c r="J450" s="221"/>
      <c r="K450" s="221"/>
      <c r="L450" s="221"/>
      <c r="M450" s="221"/>
      <c r="N450" s="221"/>
      <c r="O450" s="221"/>
      <c r="P450" s="221"/>
      <c r="Q450" s="221"/>
      <c r="R450" s="221"/>
      <c r="S450" s="221"/>
      <c r="T450" s="221"/>
      <c r="U450" s="221"/>
      <c r="V450" s="221"/>
      <c r="W450" s="221"/>
      <c r="X450" s="221"/>
    </row>
    <row r="451" spans="1:24" ht="14" x14ac:dyDescent="0.3">
      <c r="A451" s="221"/>
      <c r="B451" s="221"/>
      <c r="C451" s="221"/>
      <c r="D451" s="221"/>
      <c r="E451" s="221"/>
      <c r="F451" s="221"/>
      <c r="G451" s="221"/>
      <c r="H451" s="221"/>
      <c r="I451" s="221"/>
      <c r="J451" s="221"/>
      <c r="K451" s="221"/>
      <c r="L451" s="221"/>
      <c r="M451" s="221"/>
      <c r="N451" s="221"/>
      <c r="O451" s="221"/>
      <c r="P451" s="221"/>
      <c r="Q451" s="221"/>
      <c r="R451" s="221"/>
      <c r="S451" s="221"/>
      <c r="T451" s="221"/>
      <c r="U451" s="221"/>
      <c r="V451" s="221"/>
      <c r="W451" s="221"/>
      <c r="X451" s="221"/>
    </row>
    <row r="452" spans="1:24" ht="14" x14ac:dyDescent="0.3">
      <c r="A452" s="221"/>
      <c r="B452" s="221"/>
      <c r="C452" s="221"/>
      <c r="D452" s="221"/>
      <c r="E452" s="221"/>
      <c r="F452" s="221"/>
      <c r="G452" s="221"/>
      <c r="H452" s="221"/>
      <c r="I452" s="221"/>
      <c r="J452" s="221"/>
      <c r="K452" s="221"/>
      <c r="L452" s="221"/>
      <c r="M452" s="221"/>
      <c r="N452" s="221"/>
      <c r="O452" s="221"/>
      <c r="P452" s="221"/>
      <c r="Q452" s="221"/>
      <c r="R452" s="221"/>
      <c r="S452" s="221"/>
      <c r="T452" s="221"/>
      <c r="U452" s="221"/>
      <c r="V452" s="221"/>
      <c r="W452" s="221"/>
      <c r="X452" s="221"/>
    </row>
    <row r="453" spans="1:24" ht="14" x14ac:dyDescent="0.3">
      <c r="A453" s="221"/>
      <c r="B453" s="221"/>
      <c r="C453" s="221"/>
      <c r="D453" s="221"/>
      <c r="E453" s="221"/>
      <c r="F453" s="221"/>
      <c r="G453" s="221"/>
      <c r="H453" s="221"/>
      <c r="I453" s="221"/>
      <c r="J453" s="221"/>
      <c r="K453" s="221"/>
      <c r="L453" s="221"/>
      <c r="M453" s="221"/>
      <c r="N453" s="221"/>
      <c r="O453" s="221"/>
      <c r="P453" s="221"/>
      <c r="Q453" s="221"/>
      <c r="R453" s="221"/>
      <c r="S453" s="221"/>
      <c r="T453" s="221"/>
      <c r="U453" s="221"/>
      <c r="V453" s="221"/>
      <c r="W453" s="221"/>
      <c r="X453" s="221"/>
    </row>
    <row r="454" spans="1:24" ht="14" x14ac:dyDescent="0.3">
      <c r="A454" s="221"/>
      <c r="B454" s="221"/>
      <c r="C454" s="221"/>
      <c r="D454" s="221"/>
      <c r="E454" s="221"/>
      <c r="F454" s="221"/>
      <c r="G454" s="221"/>
      <c r="H454" s="221"/>
      <c r="I454" s="221"/>
      <c r="J454" s="221"/>
      <c r="K454" s="221"/>
      <c r="L454" s="221"/>
      <c r="M454" s="221"/>
      <c r="N454" s="221"/>
      <c r="O454" s="221"/>
      <c r="P454" s="221"/>
      <c r="Q454" s="221"/>
      <c r="R454" s="221"/>
      <c r="S454" s="221"/>
      <c r="T454" s="221"/>
      <c r="U454" s="221"/>
      <c r="V454" s="221"/>
      <c r="W454" s="221"/>
      <c r="X454" s="221"/>
    </row>
    <row r="455" spans="1:24" ht="14" x14ac:dyDescent="0.3">
      <c r="A455" s="221"/>
      <c r="B455" s="221"/>
      <c r="C455" s="221"/>
      <c r="D455" s="221"/>
      <c r="E455" s="221"/>
      <c r="F455" s="221"/>
      <c r="G455" s="221"/>
      <c r="H455" s="221"/>
      <c r="I455" s="221"/>
      <c r="J455" s="221"/>
      <c r="K455" s="221"/>
      <c r="L455" s="221"/>
      <c r="M455" s="221"/>
      <c r="N455" s="221"/>
      <c r="O455" s="221"/>
      <c r="P455" s="221"/>
      <c r="Q455" s="221"/>
      <c r="R455" s="221"/>
      <c r="S455" s="221"/>
      <c r="T455" s="221"/>
      <c r="U455" s="221"/>
      <c r="V455" s="221"/>
      <c r="W455" s="221"/>
      <c r="X455" s="221"/>
    </row>
    <row r="456" spans="1:24" ht="14" x14ac:dyDescent="0.3">
      <c r="A456" s="221"/>
      <c r="B456" s="221"/>
      <c r="C456" s="221"/>
      <c r="D456" s="221"/>
      <c r="E456" s="221"/>
      <c r="F456" s="221"/>
      <c r="G456" s="221"/>
      <c r="H456" s="221"/>
      <c r="I456" s="221"/>
      <c r="J456" s="221"/>
      <c r="K456" s="221"/>
      <c r="L456" s="221"/>
      <c r="M456" s="221"/>
      <c r="N456" s="221"/>
      <c r="O456" s="221"/>
      <c r="P456" s="221"/>
      <c r="Q456" s="221"/>
      <c r="R456" s="221"/>
      <c r="S456" s="221"/>
      <c r="T456" s="221"/>
      <c r="U456" s="221"/>
      <c r="V456" s="221"/>
      <c r="W456" s="221"/>
      <c r="X456" s="221"/>
    </row>
    <row r="457" spans="1:24" ht="14" x14ac:dyDescent="0.3">
      <c r="A457" s="221"/>
      <c r="B457" s="221"/>
      <c r="C457" s="221"/>
      <c r="D457" s="221"/>
      <c r="E457" s="221"/>
      <c r="F457" s="221"/>
      <c r="G457" s="221"/>
      <c r="H457" s="221"/>
      <c r="I457" s="221"/>
      <c r="J457" s="221"/>
      <c r="K457" s="221"/>
      <c r="L457" s="221"/>
      <c r="M457" s="221"/>
      <c r="N457" s="221"/>
      <c r="O457" s="221"/>
      <c r="P457" s="221"/>
      <c r="Q457" s="221"/>
      <c r="R457" s="221"/>
      <c r="S457" s="221"/>
      <c r="T457" s="221"/>
      <c r="U457" s="221"/>
      <c r="V457" s="221"/>
      <c r="W457" s="221"/>
      <c r="X457" s="221"/>
    </row>
    <row r="458" spans="1:24" ht="14" x14ac:dyDescent="0.3">
      <c r="A458" s="221"/>
      <c r="B458" s="221"/>
      <c r="C458" s="221"/>
      <c r="D458" s="221"/>
      <c r="E458" s="221"/>
      <c r="F458" s="221"/>
      <c r="G458" s="221"/>
      <c r="H458" s="221"/>
      <c r="I458" s="221"/>
      <c r="J458" s="221"/>
      <c r="K458" s="221"/>
      <c r="L458" s="221"/>
      <c r="M458" s="221"/>
      <c r="N458" s="221"/>
      <c r="O458" s="221"/>
      <c r="P458" s="221"/>
      <c r="Q458" s="221"/>
      <c r="R458" s="221"/>
      <c r="S458" s="221"/>
      <c r="T458" s="221"/>
      <c r="U458" s="221"/>
      <c r="V458" s="221"/>
      <c r="W458" s="221"/>
      <c r="X458" s="221"/>
    </row>
    <row r="459" spans="1:24" ht="14" x14ac:dyDescent="0.3">
      <c r="A459" s="221"/>
      <c r="B459" s="221"/>
      <c r="C459" s="221"/>
      <c r="D459" s="221"/>
      <c r="E459" s="221"/>
      <c r="F459" s="221"/>
      <c r="G459" s="221"/>
      <c r="H459" s="221"/>
      <c r="I459" s="221"/>
      <c r="J459" s="221"/>
      <c r="K459" s="221"/>
      <c r="L459" s="221"/>
      <c r="M459" s="221"/>
      <c r="N459" s="221"/>
      <c r="O459" s="221"/>
      <c r="P459" s="221"/>
      <c r="Q459" s="221"/>
      <c r="R459" s="221"/>
      <c r="S459" s="221"/>
      <c r="T459" s="221"/>
      <c r="U459" s="221"/>
      <c r="V459" s="221"/>
      <c r="W459" s="221"/>
      <c r="X459" s="221"/>
    </row>
    <row r="460" spans="1:24" ht="14" x14ac:dyDescent="0.3">
      <c r="A460" s="221"/>
      <c r="B460" s="221"/>
      <c r="C460" s="221"/>
      <c r="D460" s="221"/>
      <c r="E460" s="221"/>
      <c r="F460" s="221"/>
      <c r="G460" s="221"/>
      <c r="H460" s="221"/>
      <c r="I460" s="221"/>
      <c r="J460" s="221"/>
      <c r="K460" s="221"/>
      <c r="L460" s="221"/>
      <c r="M460" s="221"/>
      <c r="N460" s="221"/>
      <c r="O460" s="221"/>
      <c r="P460" s="221"/>
      <c r="Q460" s="221"/>
      <c r="R460" s="221"/>
      <c r="S460" s="221"/>
      <c r="T460" s="221"/>
      <c r="U460" s="221"/>
      <c r="V460" s="221"/>
      <c r="W460" s="221"/>
      <c r="X460" s="221"/>
    </row>
    <row r="461" spans="1:24" ht="14" x14ac:dyDescent="0.3">
      <c r="A461" s="221"/>
      <c r="B461" s="221"/>
      <c r="C461" s="221"/>
      <c r="D461" s="221"/>
      <c r="E461" s="221"/>
      <c r="F461" s="221"/>
      <c r="G461" s="221"/>
      <c r="H461" s="221"/>
      <c r="I461" s="221"/>
      <c r="J461" s="221"/>
      <c r="K461" s="221"/>
      <c r="L461" s="221"/>
      <c r="M461" s="221"/>
      <c r="N461" s="221"/>
      <c r="O461" s="221"/>
      <c r="P461" s="221"/>
      <c r="Q461" s="221"/>
      <c r="R461" s="221"/>
      <c r="S461" s="221"/>
      <c r="T461" s="221"/>
      <c r="U461" s="221"/>
      <c r="V461" s="221"/>
      <c r="W461" s="221"/>
      <c r="X461" s="221"/>
    </row>
    <row r="462" spans="1:24" ht="14" x14ac:dyDescent="0.3">
      <c r="A462" s="221"/>
      <c r="B462" s="221"/>
      <c r="C462" s="221"/>
      <c r="D462" s="221"/>
      <c r="E462" s="221"/>
      <c r="F462" s="221"/>
      <c r="G462" s="221"/>
      <c r="H462" s="221"/>
      <c r="I462" s="221"/>
      <c r="J462" s="221"/>
      <c r="K462" s="221"/>
      <c r="L462" s="221"/>
      <c r="M462" s="221"/>
      <c r="N462" s="221"/>
      <c r="O462" s="221"/>
      <c r="P462" s="221"/>
      <c r="Q462" s="221"/>
      <c r="R462" s="221"/>
      <c r="S462" s="221"/>
      <c r="T462" s="221"/>
      <c r="U462" s="221"/>
      <c r="V462" s="221"/>
      <c r="W462" s="221"/>
      <c r="X462" s="221"/>
    </row>
    <row r="463" spans="1:24" ht="14" x14ac:dyDescent="0.3">
      <c r="A463" s="221"/>
      <c r="B463" s="221"/>
      <c r="C463" s="221"/>
      <c r="D463" s="221"/>
      <c r="E463" s="221"/>
      <c r="F463" s="221"/>
      <c r="G463" s="221"/>
      <c r="H463" s="221"/>
      <c r="I463" s="221"/>
      <c r="J463" s="221"/>
      <c r="K463" s="221"/>
      <c r="L463" s="221"/>
      <c r="M463" s="221"/>
      <c r="N463" s="221"/>
      <c r="O463" s="221"/>
      <c r="P463" s="221"/>
      <c r="Q463" s="221"/>
      <c r="R463" s="221"/>
      <c r="S463" s="221"/>
      <c r="T463" s="221"/>
      <c r="U463" s="221"/>
      <c r="V463" s="221"/>
      <c r="W463" s="221"/>
      <c r="X463" s="221"/>
    </row>
    <row r="464" spans="1:24" ht="14" x14ac:dyDescent="0.3">
      <c r="A464" s="221"/>
      <c r="B464" s="221"/>
      <c r="C464" s="221"/>
      <c r="D464" s="221"/>
      <c r="E464" s="221"/>
      <c r="F464" s="221"/>
      <c r="G464" s="221"/>
      <c r="H464" s="221"/>
      <c r="I464" s="221"/>
      <c r="J464" s="221"/>
      <c r="K464" s="221"/>
      <c r="L464" s="221"/>
      <c r="M464" s="221"/>
      <c r="N464" s="221"/>
      <c r="O464" s="221"/>
      <c r="P464" s="221"/>
      <c r="Q464" s="221"/>
      <c r="R464" s="221"/>
      <c r="S464" s="221"/>
      <c r="T464" s="221"/>
      <c r="U464" s="221"/>
      <c r="V464" s="221"/>
      <c r="W464" s="221"/>
      <c r="X464" s="221"/>
    </row>
    <row r="465" spans="1:24" ht="14" x14ac:dyDescent="0.3">
      <c r="A465" s="221"/>
      <c r="B465" s="221"/>
      <c r="C465" s="221"/>
      <c r="D465" s="221"/>
      <c r="E465" s="221"/>
      <c r="F465" s="221"/>
      <c r="G465" s="221"/>
      <c r="H465" s="221"/>
      <c r="I465" s="221"/>
      <c r="J465" s="221"/>
      <c r="K465" s="221"/>
      <c r="L465" s="221"/>
      <c r="M465" s="221"/>
      <c r="N465" s="221"/>
      <c r="O465" s="221"/>
      <c r="P465" s="221"/>
      <c r="Q465" s="221"/>
      <c r="R465" s="221"/>
      <c r="S465" s="221"/>
      <c r="T465" s="221"/>
      <c r="U465" s="221"/>
      <c r="V465" s="221"/>
      <c r="W465" s="221"/>
      <c r="X465" s="221"/>
    </row>
    <row r="466" spans="1:24" ht="14" x14ac:dyDescent="0.3">
      <c r="A466" s="221"/>
      <c r="B466" s="221"/>
      <c r="C466" s="221"/>
      <c r="D466" s="221"/>
      <c r="E466" s="221"/>
      <c r="F466" s="221"/>
      <c r="G466" s="221"/>
      <c r="H466" s="221"/>
      <c r="I466" s="221"/>
      <c r="J466" s="221"/>
      <c r="K466" s="221"/>
      <c r="L466" s="221"/>
      <c r="M466" s="221"/>
      <c r="N466" s="221"/>
      <c r="O466" s="221"/>
      <c r="P466" s="221"/>
      <c r="Q466" s="221"/>
      <c r="R466" s="221"/>
      <c r="S466" s="221"/>
      <c r="T466" s="221"/>
      <c r="U466" s="221"/>
      <c r="V466" s="221"/>
      <c r="W466" s="221"/>
      <c r="X466" s="221"/>
    </row>
    <row r="467" spans="1:24" ht="14" x14ac:dyDescent="0.3">
      <c r="A467" s="221"/>
      <c r="B467" s="221"/>
      <c r="C467" s="221"/>
      <c r="D467" s="221"/>
      <c r="E467" s="221"/>
      <c r="F467" s="221"/>
      <c r="G467" s="221"/>
      <c r="H467" s="221"/>
      <c r="I467" s="221"/>
      <c r="J467" s="221"/>
      <c r="K467" s="221"/>
      <c r="L467" s="221"/>
      <c r="M467" s="221"/>
      <c r="N467" s="221"/>
      <c r="O467" s="221"/>
      <c r="P467" s="221"/>
      <c r="Q467" s="221"/>
      <c r="R467" s="221"/>
      <c r="S467" s="221"/>
      <c r="T467" s="221"/>
      <c r="U467" s="221"/>
      <c r="V467" s="221"/>
      <c r="W467" s="221"/>
      <c r="X467" s="221"/>
    </row>
    <row r="468" spans="1:24" ht="14" x14ac:dyDescent="0.3">
      <c r="A468" s="221"/>
      <c r="B468" s="221"/>
      <c r="C468" s="221"/>
      <c r="D468" s="221"/>
      <c r="E468" s="221"/>
      <c r="F468" s="221"/>
      <c r="G468" s="221"/>
      <c r="H468" s="221"/>
      <c r="I468" s="221"/>
      <c r="J468" s="221"/>
      <c r="K468" s="221"/>
      <c r="L468" s="221"/>
      <c r="M468" s="221"/>
      <c r="N468" s="221"/>
      <c r="O468" s="221"/>
      <c r="P468" s="221"/>
      <c r="Q468" s="221"/>
      <c r="R468" s="221"/>
      <c r="S468" s="221"/>
      <c r="T468" s="221"/>
      <c r="U468" s="221"/>
      <c r="V468" s="221"/>
      <c r="W468" s="221"/>
      <c r="X468" s="221"/>
    </row>
    <row r="469" spans="1:24" ht="14" x14ac:dyDescent="0.3">
      <c r="A469" s="221"/>
      <c r="B469" s="221"/>
      <c r="C469" s="221"/>
      <c r="D469" s="221"/>
      <c r="E469" s="221"/>
      <c r="F469" s="221"/>
      <c r="G469" s="221"/>
      <c r="H469" s="221"/>
      <c r="I469" s="221"/>
      <c r="J469" s="221"/>
      <c r="K469" s="221"/>
      <c r="L469" s="221"/>
      <c r="M469" s="221"/>
      <c r="N469" s="221"/>
      <c r="O469" s="221"/>
      <c r="P469" s="221"/>
      <c r="Q469" s="221"/>
      <c r="R469" s="221"/>
      <c r="S469" s="221"/>
      <c r="T469" s="221"/>
      <c r="U469" s="221"/>
      <c r="V469" s="221"/>
      <c r="W469" s="221"/>
      <c r="X469" s="221"/>
    </row>
    <row r="470" spans="1:24" ht="14" x14ac:dyDescent="0.3">
      <c r="A470" s="221"/>
      <c r="B470" s="221"/>
      <c r="C470" s="221"/>
      <c r="D470" s="221"/>
      <c r="E470" s="221"/>
      <c r="F470" s="221"/>
      <c r="G470" s="221"/>
      <c r="H470" s="221"/>
      <c r="I470" s="221"/>
      <c r="J470" s="221"/>
      <c r="K470" s="221"/>
      <c r="L470" s="221"/>
      <c r="M470" s="221"/>
      <c r="N470" s="221"/>
      <c r="O470" s="221"/>
      <c r="P470" s="221"/>
      <c r="Q470" s="221"/>
      <c r="R470" s="221"/>
      <c r="S470" s="221"/>
      <c r="T470" s="221"/>
      <c r="U470" s="221"/>
      <c r="V470" s="221"/>
      <c r="W470" s="221"/>
      <c r="X470" s="221"/>
    </row>
    <row r="471" spans="1:24" ht="14" x14ac:dyDescent="0.3">
      <c r="A471" s="221"/>
      <c r="B471" s="221"/>
      <c r="C471" s="221"/>
      <c r="D471" s="221"/>
      <c r="E471" s="221"/>
      <c r="F471" s="221"/>
      <c r="G471" s="221"/>
      <c r="H471" s="221"/>
      <c r="I471" s="221"/>
      <c r="J471" s="221"/>
      <c r="K471" s="221"/>
      <c r="L471" s="221"/>
      <c r="M471" s="221"/>
      <c r="N471" s="221"/>
      <c r="O471" s="221"/>
      <c r="P471" s="221"/>
      <c r="Q471" s="221"/>
      <c r="R471" s="221"/>
      <c r="S471" s="221"/>
      <c r="T471" s="221"/>
      <c r="U471" s="221"/>
      <c r="V471" s="221"/>
      <c r="W471" s="221"/>
      <c r="X471" s="221"/>
    </row>
    <row r="472" spans="1:24" ht="14" x14ac:dyDescent="0.3">
      <c r="A472" s="221"/>
      <c r="B472" s="221"/>
      <c r="C472" s="221"/>
      <c r="D472" s="221"/>
      <c r="E472" s="221"/>
      <c r="F472" s="221"/>
      <c r="G472" s="221"/>
      <c r="H472" s="221"/>
      <c r="I472" s="221"/>
      <c r="J472" s="221"/>
      <c r="K472" s="221"/>
      <c r="L472" s="221"/>
      <c r="M472" s="221"/>
      <c r="N472" s="221"/>
      <c r="O472" s="221"/>
      <c r="P472" s="221"/>
      <c r="Q472" s="221"/>
      <c r="R472" s="221"/>
      <c r="S472" s="221"/>
      <c r="T472" s="221"/>
      <c r="U472" s="221"/>
      <c r="V472" s="221"/>
      <c r="W472" s="221"/>
      <c r="X472" s="221"/>
    </row>
    <row r="473" spans="1:24" ht="14" x14ac:dyDescent="0.3">
      <c r="A473" s="221"/>
      <c r="B473" s="221"/>
      <c r="C473" s="221"/>
      <c r="D473" s="221"/>
      <c r="E473" s="221"/>
      <c r="F473" s="221"/>
      <c r="G473" s="221"/>
      <c r="H473" s="221"/>
      <c r="I473" s="221"/>
      <c r="J473" s="221"/>
      <c r="K473" s="221"/>
      <c r="L473" s="221"/>
      <c r="M473" s="221"/>
      <c r="N473" s="221"/>
      <c r="O473" s="221"/>
      <c r="P473" s="221"/>
      <c r="Q473" s="221"/>
      <c r="R473" s="221"/>
      <c r="S473" s="221"/>
      <c r="T473" s="221"/>
      <c r="U473" s="221"/>
      <c r="V473" s="221"/>
      <c r="W473" s="221"/>
      <c r="X473" s="221"/>
    </row>
    <row r="474" spans="1:24" ht="14" x14ac:dyDescent="0.3">
      <c r="A474" s="221"/>
      <c r="B474" s="221"/>
      <c r="C474" s="221"/>
      <c r="D474" s="221"/>
      <c r="E474" s="221"/>
      <c r="F474" s="221"/>
      <c r="G474" s="221"/>
      <c r="H474" s="221"/>
      <c r="I474" s="221"/>
      <c r="J474" s="221"/>
      <c r="K474" s="221"/>
      <c r="L474" s="221"/>
      <c r="M474" s="221"/>
      <c r="N474" s="221"/>
      <c r="O474" s="221"/>
      <c r="P474" s="221"/>
      <c r="Q474" s="221"/>
      <c r="R474" s="221"/>
      <c r="S474" s="221"/>
      <c r="T474" s="221"/>
      <c r="U474" s="221"/>
      <c r="V474" s="221"/>
      <c r="W474" s="221"/>
      <c r="X474" s="221"/>
    </row>
    <row r="475" spans="1:24" ht="14" x14ac:dyDescent="0.3">
      <c r="A475" s="221"/>
      <c r="B475" s="221"/>
      <c r="C475" s="221"/>
      <c r="D475" s="221"/>
      <c r="E475" s="221"/>
      <c r="F475" s="221"/>
      <c r="G475" s="221"/>
      <c r="H475" s="221"/>
      <c r="I475" s="221"/>
      <c r="J475" s="221"/>
      <c r="K475" s="221"/>
      <c r="L475" s="221"/>
      <c r="M475" s="221"/>
      <c r="N475" s="221"/>
      <c r="O475" s="221"/>
      <c r="P475" s="221"/>
      <c r="Q475" s="221"/>
      <c r="R475" s="221"/>
      <c r="S475" s="221"/>
      <c r="T475" s="221"/>
      <c r="U475" s="221"/>
      <c r="V475" s="221"/>
      <c r="W475" s="221"/>
      <c r="X475" s="221"/>
    </row>
    <row r="476" spans="1:24" ht="14" x14ac:dyDescent="0.3">
      <c r="A476" s="221"/>
      <c r="B476" s="221"/>
      <c r="C476" s="221"/>
      <c r="D476" s="221"/>
      <c r="E476" s="221"/>
      <c r="F476" s="221"/>
      <c r="G476" s="221"/>
      <c r="H476" s="221"/>
      <c r="I476" s="221"/>
      <c r="J476" s="221"/>
      <c r="K476" s="221"/>
      <c r="L476" s="221"/>
      <c r="M476" s="221"/>
      <c r="N476" s="221"/>
      <c r="O476" s="221"/>
      <c r="P476" s="221"/>
      <c r="Q476" s="221"/>
      <c r="R476" s="221"/>
      <c r="S476" s="221"/>
      <c r="T476" s="221"/>
      <c r="U476" s="221"/>
      <c r="V476" s="221"/>
      <c r="W476" s="221"/>
      <c r="X476" s="221"/>
    </row>
    <row r="477" spans="1:24" ht="14" x14ac:dyDescent="0.3">
      <c r="A477" s="221"/>
      <c r="B477" s="221"/>
      <c r="C477" s="221"/>
      <c r="D477" s="221"/>
      <c r="E477" s="221"/>
      <c r="F477" s="221"/>
      <c r="G477" s="221"/>
      <c r="H477" s="221"/>
      <c r="I477" s="221"/>
      <c r="J477" s="221"/>
      <c r="K477" s="221"/>
      <c r="L477" s="221"/>
      <c r="M477" s="221"/>
      <c r="N477" s="221"/>
      <c r="O477" s="221"/>
      <c r="P477" s="221"/>
      <c r="Q477" s="221"/>
      <c r="R477" s="221"/>
      <c r="S477" s="221"/>
      <c r="T477" s="221"/>
      <c r="U477" s="221"/>
      <c r="V477" s="221"/>
      <c r="W477" s="221"/>
      <c r="X477" s="221"/>
    </row>
    <row r="478" spans="1:24" ht="14" x14ac:dyDescent="0.3">
      <c r="A478" s="221"/>
      <c r="B478" s="221"/>
      <c r="C478" s="221"/>
      <c r="D478" s="221"/>
      <c r="E478" s="221"/>
      <c r="F478" s="221"/>
      <c r="G478" s="221"/>
      <c r="H478" s="221"/>
      <c r="I478" s="221"/>
      <c r="J478" s="221"/>
      <c r="K478" s="221"/>
      <c r="L478" s="221"/>
      <c r="M478" s="221"/>
      <c r="N478" s="221"/>
      <c r="O478" s="221"/>
      <c r="P478" s="221"/>
      <c r="Q478" s="221"/>
      <c r="R478" s="221"/>
      <c r="S478" s="221"/>
      <c r="T478" s="221"/>
      <c r="U478" s="221"/>
      <c r="V478" s="221"/>
      <c r="W478" s="221"/>
      <c r="X478" s="221"/>
    </row>
    <row r="479" spans="1:24" ht="14" x14ac:dyDescent="0.3">
      <c r="A479" s="221"/>
      <c r="B479" s="221"/>
      <c r="C479" s="221"/>
      <c r="D479" s="221"/>
      <c r="E479" s="221"/>
      <c r="F479" s="221"/>
      <c r="G479" s="221"/>
      <c r="H479" s="221"/>
      <c r="I479" s="221"/>
      <c r="J479" s="221"/>
      <c r="K479" s="221"/>
      <c r="L479" s="221"/>
      <c r="M479" s="221"/>
      <c r="N479" s="221"/>
      <c r="O479" s="221"/>
      <c r="P479" s="221"/>
      <c r="Q479" s="221"/>
      <c r="R479" s="221"/>
      <c r="S479" s="221"/>
      <c r="T479" s="221"/>
      <c r="U479" s="221"/>
      <c r="V479" s="221"/>
      <c r="W479" s="221"/>
      <c r="X479" s="221"/>
    </row>
    <row r="480" spans="1:24" ht="14" x14ac:dyDescent="0.3">
      <c r="A480" s="221"/>
      <c r="B480" s="221"/>
      <c r="C480" s="221"/>
      <c r="D480" s="221"/>
      <c r="E480" s="221"/>
      <c r="F480" s="221"/>
      <c r="G480" s="221"/>
      <c r="H480" s="221"/>
      <c r="I480" s="221"/>
      <c r="J480" s="221"/>
      <c r="K480" s="221"/>
      <c r="L480" s="221"/>
      <c r="M480" s="221"/>
      <c r="N480" s="221"/>
      <c r="O480" s="221"/>
      <c r="P480" s="221"/>
      <c r="Q480" s="221"/>
      <c r="R480" s="221"/>
      <c r="S480" s="221"/>
      <c r="T480" s="221"/>
      <c r="U480" s="221"/>
      <c r="V480" s="221"/>
      <c r="W480" s="221"/>
      <c r="X480" s="221"/>
    </row>
    <row r="481" spans="1:24" ht="14" x14ac:dyDescent="0.3">
      <c r="A481" s="221"/>
      <c r="B481" s="221"/>
      <c r="C481" s="221"/>
      <c r="D481" s="221"/>
      <c r="E481" s="221"/>
      <c r="F481" s="221"/>
      <c r="G481" s="221"/>
      <c r="H481" s="221"/>
      <c r="I481" s="221"/>
      <c r="J481" s="221"/>
      <c r="K481" s="221"/>
      <c r="L481" s="221"/>
      <c r="M481" s="221"/>
      <c r="N481" s="221"/>
      <c r="O481" s="221"/>
      <c r="P481" s="221"/>
      <c r="Q481" s="221"/>
      <c r="R481" s="221"/>
      <c r="S481" s="221"/>
      <c r="T481" s="221"/>
      <c r="U481" s="221"/>
      <c r="V481" s="221"/>
      <c r="W481" s="221"/>
      <c r="X481" s="221"/>
    </row>
    <row r="482" spans="1:24" ht="14" x14ac:dyDescent="0.3">
      <c r="A482" s="221"/>
      <c r="B482" s="221"/>
      <c r="C482" s="221"/>
      <c r="D482" s="221"/>
      <c r="E482" s="221"/>
      <c r="F482" s="221"/>
      <c r="G482" s="221"/>
      <c r="H482" s="221"/>
      <c r="I482" s="221"/>
      <c r="J482" s="221"/>
      <c r="K482" s="221"/>
      <c r="L482" s="221"/>
      <c r="M482" s="221"/>
      <c r="N482" s="221"/>
      <c r="O482" s="221"/>
      <c r="P482" s="221"/>
      <c r="Q482" s="221"/>
      <c r="R482" s="221"/>
      <c r="S482" s="221"/>
      <c r="T482" s="221"/>
      <c r="U482" s="221"/>
      <c r="V482" s="221"/>
      <c r="W482" s="221"/>
      <c r="X482" s="221"/>
    </row>
    <row r="483" spans="1:24" ht="14" x14ac:dyDescent="0.3">
      <c r="A483" s="221"/>
      <c r="B483" s="221"/>
      <c r="C483" s="221"/>
      <c r="D483" s="221"/>
      <c r="E483" s="221"/>
      <c r="F483" s="221"/>
      <c r="G483" s="221"/>
      <c r="H483" s="221"/>
      <c r="I483" s="221"/>
      <c r="J483" s="221"/>
      <c r="K483" s="221"/>
      <c r="L483" s="221"/>
      <c r="M483" s="221"/>
      <c r="N483" s="221"/>
      <c r="O483" s="221"/>
      <c r="P483" s="221"/>
      <c r="Q483" s="221"/>
      <c r="R483" s="221"/>
      <c r="S483" s="221"/>
      <c r="T483" s="221"/>
      <c r="U483" s="221"/>
      <c r="V483" s="221"/>
      <c r="W483" s="221"/>
      <c r="X483" s="221"/>
    </row>
    <row r="484" spans="1:24" ht="14" x14ac:dyDescent="0.3">
      <c r="A484" s="221"/>
      <c r="B484" s="221"/>
      <c r="C484" s="221"/>
      <c r="D484" s="221"/>
      <c r="E484" s="221"/>
      <c r="F484" s="221"/>
      <c r="G484" s="221"/>
      <c r="H484" s="221"/>
      <c r="I484" s="221"/>
      <c r="J484" s="221"/>
      <c r="K484" s="221"/>
      <c r="L484" s="221"/>
      <c r="M484" s="221"/>
      <c r="N484" s="221"/>
      <c r="O484" s="221"/>
      <c r="P484" s="221"/>
      <c r="Q484" s="221"/>
      <c r="R484" s="221"/>
      <c r="S484" s="221"/>
      <c r="T484" s="221"/>
      <c r="U484" s="221"/>
      <c r="V484" s="221"/>
      <c r="W484" s="221"/>
      <c r="X484" s="221"/>
    </row>
    <row r="485" spans="1:24" ht="14" x14ac:dyDescent="0.3">
      <c r="A485" s="221"/>
      <c r="B485" s="221"/>
      <c r="C485" s="221"/>
      <c r="D485" s="221"/>
      <c r="E485" s="221"/>
      <c r="F485" s="221"/>
      <c r="G485" s="221"/>
      <c r="H485" s="221"/>
      <c r="I485" s="221"/>
      <c r="J485" s="221"/>
      <c r="K485" s="221"/>
      <c r="L485" s="221"/>
      <c r="M485" s="221"/>
      <c r="N485" s="221"/>
      <c r="O485" s="221"/>
      <c r="P485" s="221"/>
      <c r="Q485" s="221"/>
      <c r="R485" s="221"/>
      <c r="S485" s="221"/>
      <c r="T485" s="221"/>
      <c r="U485" s="221"/>
      <c r="V485" s="221"/>
      <c r="W485" s="221"/>
      <c r="X485" s="221"/>
    </row>
    <row r="486" spans="1:24" ht="14" x14ac:dyDescent="0.3">
      <c r="A486" s="221"/>
      <c r="B486" s="221"/>
      <c r="C486" s="221"/>
      <c r="D486" s="221"/>
      <c r="E486" s="221"/>
      <c r="F486" s="221"/>
      <c r="G486" s="221"/>
      <c r="H486" s="221"/>
      <c r="I486" s="221"/>
      <c r="J486" s="221"/>
      <c r="K486" s="221"/>
      <c r="L486" s="221"/>
      <c r="M486" s="221"/>
      <c r="N486" s="221"/>
      <c r="O486" s="221"/>
      <c r="P486" s="221"/>
      <c r="Q486" s="221"/>
      <c r="R486" s="221"/>
      <c r="S486" s="221"/>
      <c r="T486" s="221"/>
      <c r="U486" s="221"/>
      <c r="V486" s="221"/>
      <c r="W486" s="221"/>
      <c r="X486" s="221"/>
    </row>
    <row r="487" spans="1:24" ht="14" x14ac:dyDescent="0.3">
      <c r="A487" s="221"/>
      <c r="B487" s="221"/>
      <c r="C487" s="221"/>
      <c r="D487" s="221"/>
      <c r="E487" s="221"/>
      <c r="F487" s="221"/>
      <c r="G487" s="221"/>
      <c r="H487" s="221"/>
      <c r="I487" s="221"/>
      <c r="J487" s="221"/>
      <c r="K487" s="221"/>
      <c r="L487" s="221"/>
      <c r="M487" s="221"/>
      <c r="N487" s="221"/>
      <c r="O487" s="221"/>
      <c r="P487" s="221"/>
      <c r="Q487" s="221"/>
      <c r="R487" s="221"/>
      <c r="S487" s="221"/>
      <c r="T487" s="221"/>
      <c r="U487" s="221"/>
      <c r="V487" s="221"/>
      <c r="W487" s="221"/>
      <c r="X487" s="221"/>
    </row>
    <row r="488" spans="1:24" ht="14" x14ac:dyDescent="0.3">
      <c r="A488" s="221"/>
      <c r="B488" s="221"/>
      <c r="C488" s="221"/>
      <c r="D488" s="221"/>
      <c r="E488" s="221"/>
      <c r="F488" s="221"/>
      <c r="G488" s="221"/>
      <c r="H488" s="221"/>
      <c r="I488" s="221"/>
      <c r="J488" s="221"/>
      <c r="K488" s="221"/>
      <c r="L488" s="221"/>
      <c r="M488" s="221"/>
      <c r="N488" s="221"/>
      <c r="O488" s="221"/>
      <c r="P488" s="221"/>
      <c r="Q488" s="221"/>
      <c r="R488" s="221"/>
      <c r="S488" s="221"/>
      <c r="T488" s="221"/>
      <c r="U488" s="221"/>
      <c r="V488" s="221"/>
      <c r="W488" s="221"/>
      <c r="X488" s="221"/>
    </row>
    <row r="489" spans="1:24" ht="14" x14ac:dyDescent="0.3">
      <c r="A489" s="221"/>
      <c r="B489" s="221"/>
      <c r="C489" s="221"/>
      <c r="D489" s="221"/>
      <c r="E489" s="221"/>
      <c r="F489" s="221"/>
      <c r="G489" s="221"/>
      <c r="H489" s="221"/>
      <c r="I489" s="221"/>
      <c r="J489" s="221"/>
      <c r="K489" s="221"/>
      <c r="L489" s="221"/>
      <c r="M489" s="221"/>
      <c r="N489" s="221"/>
      <c r="O489" s="221"/>
      <c r="P489" s="221"/>
      <c r="Q489" s="221"/>
      <c r="R489" s="221"/>
      <c r="S489" s="221"/>
      <c r="T489" s="221"/>
      <c r="U489" s="221"/>
      <c r="V489" s="221"/>
      <c r="W489" s="221"/>
      <c r="X489" s="221"/>
    </row>
    <row r="490" spans="1:24" ht="14" x14ac:dyDescent="0.3">
      <c r="A490" s="221"/>
      <c r="B490" s="221"/>
      <c r="C490" s="221"/>
      <c r="D490" s="221"/>
      <c r="E490" s="221"/>
      <c r="F490" s="221"/>
      <c r="G490" s="221"/>
      <c r="H490" s="221"/>
      <c r="I490" s="221"/>
      <c r="J490" s="221"/>
      <c r="K490" s="221"/>
      <c r="L490" s="221"/>
      <c r="M490" s="221"/>
      <c r="N490" s="221"/>
      <c r="O490" s="221"/>
      <c r="P490" s="221"/>
      <c r="Q490" s="221"/>
      <c r="R490" s="221"/>
      <c r="S490" s="221"/>
      <c r="T490" s="221"/>
      <c r="U490" s="221"/>
      <c r="V490" s="221"/>
      <c r="W490" s="221"/>
      <c r="X490" s="221"/>
    </row>
    <row r="491" spans="1:24" ht="14" x14ac:dyDescent="0.3">
      <c r="A491" s="221"/>
      <c r="B491" s="221"/>
      <c r="C491" s="221"/>
      <c r="D491" s="221"/>
      <c r="E491" s="221"/>
      <c r="F491" s="221"/>
      <c r="G491" s="221"/>
      <c r="H491" s="221"/>
      <c r="I491" s="221"/>
      <c r="J491" s="221"/>
      <c r="K491" s="221"/>
      <c r="L491" s="221"/>
      <c r="M491" s="221"/>
      <c r="N491" s="221"/>
      <c r="O491" s="221"/>
      <c r="P491" s="221"/>
      <c r="Q491" s="221"/>
      <c r="R491" s="221"/>
      <c r="S491" s="221"/>
      <c r="T491" s="221"/>
      <c r="U491" s="221"/>
      <c r="V491" s="221"/>
      <c r="W491" s="221"/>
      <c r="X491" s="221"/>
    </row>
    <row r="492" spans="1:24" ht="14" x14ac:dyDescent="0.3">
      <c r="A492" s="221"/>
      <c r="B492" s="221"/>
      <c r="C492" s="221"/>
      <c r="D492" s="221"/>
      <c r="E492" s="221"/>
      <c r="F492" s="221"/>
      <c r="G492" s="221"/>
      <c r="H492" s="221"/>
      <c r="I492" s="221"/>
      <c r="J492" s="221"/>
      <c r="K492" s="221"/>
      <c r="L492" s="221"/>
      <c r="M492" s="221"/>
      <c r="N492" s="221"/>
      <c r="O492" s="221"/>
      <c r="P492" s="221"/>
      <c r="Q492" s="221"/>
      <c r="R492" s="221"/>
      <c r="S492" s="221"/>
      <c r="T492" s="221"/>
      <c r="U492" s="221"/>
      <c r="V492" s="221"/>
      <c r="W492" s="221"/>
      <c r="X492" s="221"/>
    </row>
    <row r="493" spans="1:24" ht="14" x14ac:dyDescent="0.3">
      <c r="A493" s="221"/>
      <c r="B493" s="221"/>
      <c r="C493" s="221"/>
      <c r="D493" s="221"/>
      <c r="E493" s="221"/>
      <c r="F493" s="221"/>
      <c r="G493" s="221"/>
      <c r="H493" s="221"/>
      <c r="I493" s="221"/>
      <c r="J493" s="221"/>
      <c r="K493" s="221"/>
      <c r="L493" s="221"/>
      <c r="M493" s="221"/>
      <c r="N493" s="221"/>
      <c r="O493" s="221"/>
      <c r="P493" s="221"/>
      <c r="Q493" s="221"/>
      <c r="R493" s="221"/>
      <c r="S493" s="221"/>
      <c r="T493" s="221"/>
      <c r="U493" s="221"/>
      <c r="V493" s="221"/>
      <c r="W493" s="221"/>
      <c r="X493" s="221"/>
    </row>
    <row r="494" spans="1:24" ht="14" x14ac:dyDescent="0.3">
      <c r="A494" s="221"/>
      <c r="B494" s="221"/>
      <c r="C494" s="221"/>
      <c r="D494" s="221"/>
      <c r="E494" s="221"/>
      <c r="F494" s="221"/>
      <c r="G494" s="221"/>
      <c r="H494" s="221"/>
      <c r="I494" s="221"/>
      <c r="J494" s="221"/>
      <c r="K494" s="221"/>
      <c r="L494" s="221"/>
      <c r="M494" s="221"/>
      <c r="N494" s="221"/>
      <c r="O494" s="221"/>
      <c r="P494" s="221"/>
      <c r="Q494" s="221"/>
      <c r="R494" s="221"/>
      <c r="S494" s="221"/>
      <c r="T494" s="221"/>
      <c r="U494" s="221"/>
      <c r="V494" s="221"/>
      <c r="W494" s="221"/>
      <c r="X494" s="221"/>
    </row>
    <row r="495" spans="1:24" ht="14" x14ac:dyDescent="0.3">
      <c r="A495" s="221"/>
      <c r="B495" s="221"/>
      <c r="C495" s="221"/>
      <c r="D495" s="221"/>
      <c r="E495" s="221"/>
      <c r="F495" s="221"/>
      <c r="G495" s="221"/>
      <c r="H495" s="221"/>
      <c r="I495" s="221"/>
      <c r="J495" s="221"/>
      <c r="K495" s="221"/>
      <c r="L495" s="221"/>
      <c r="M495" s="221"/>
      <c r="N495" s="221"/>
      <c r="O495" s="221"/>
      <c r="P495" s="221"/>
      <c r="Q495" s="221"/>
      <c r="R495" s="221"/>
      <c r="S495" s="221"/>
      <c r="T495" s="221"/>
      <c r="U495" s="221"/>
      <c r="V495" s="221"/>
      <c r="W495" s="221"/>
      <c r="X495" s="221"/>
    </row>
    <row r="496" spans="1:24" ht="14" x14ac:dyDescent="0.3">
      <c r="A496" s="221"/>
      <c r="B496" s="221"/>
      <c r="C496" s="221"/>
      <c r="D496" s="221"/>
      <c r="E496" s="221"/>
      <c r="F496" s="221"/>
      <c r="G496" s="221"/>
      <c r="H496" s="221"/>
      <c r="I496" s="221"/>
      <c r="J496" s="221"/>
      <c r="K496" s="221"/>
      <c r="L496" s="221"/>
      <c r="M496" s="221"/>
      <c r="N496" s="221"/>
      <c r="O496" s="221"/>
      <c r="P496" s="221"/>
      <c r="Q496" s="221"/>
      <c r="R496" s="221"/>
      <c r="S496" s="221"/>
      <c r="T496" s="221"/>
      <c r="U496" s="221"/>
      <c r="V496" s="221"/>
      <c r="W496" s="221"/>
      <c r="X496" s="221"/>
    </row>
    <row r="497" spans="1:24" ht="14" x14ac:dyDescent="0.3">
      <c r="A497" s="221"/>
      <c r="B497" s="221"/>
      <c r="C497" s="221"/>
      <c r="D497" s="221"/>
      <c r="E497" s="221"/>
      <c r="F497" s="221"/>
      <c r="G497" s="221"/>
      <c r="H497" s="221"/>
      <c r="I497" s="221"/>
      <c r="J497" s="221"/>
      <c r="K497" s="221"/>
      <c r="L497" s="221"/>
      <c r="M497" s="221"/>
      <c r="N497" s="221"/>
      <c r="O497" s="221"/>
      <c r="P497" s="221"/>
      <c r="Q497" s="221"/>
      <c r="R497" s="221"/>
      <c r="S497" s="221"/>
      <c r="T497" s="221"/>
      <c r="U497" s="221"/>
      <c r="V497" s="221"/>
      <c r="W497" s="221"/>
      <c r="X497" s="221"/>
    </row>
    <row r="498" spans="1:24" ht="14" x14ac:dyDescent="0.3">
      <c r="A498" s="221"/>
      <c r="B498" s="221"/>
      <c r="C498" s="221"/>
      <c r="D498" s="221"/>
      <c r="E498" s="221"/>
      <c r="F498" s="221"/>
      <c r="G498" s="221"/>
      <c r="H498" s="221"/>
      <c r="I498" s="221"/>
      <c r="J498" s="221"/>
      <c r="K498" s="221"/>
      <c r="L498" s="221"/>
      <c r="M498" s="221"/>
      <c r="N498" s="221"/>
      <c r="O498" s="221"/>
      <c r="P498" s="221"/>
      <c r="Q498" s="221"/>
      <c r="R498" s="221"/>
      <c r="S498" s="221"/>
      <c r="T498" s="221"/>
      <c r="U498" s="221"/>
      <c r="V498" s="221"/>
      <c r="W498" s="221"/>
      <c r="X498" s="221"/>
    </row>
    <row r="499" spans="1:24" ht="14" x14ac:dyDescent="0.3">
      <c r="A499" s="221"/>
      <c r="B499" s="221"/>
      <c r="C499" s="221"/>
      <c r="D499" s="221"/>
      <c r="E499" s="221"/>
      <c r="F499" s="221"/>
      <c r="G499" s="221"/>
      <c r="H499" s="221"/>
      <c r="I499" s="221"/>
      <c r="J499" s="221"/>
      <c r="K499" s="221"/>
      <c r="L499" s="221"/>
      <c r="M499" s="221"/>
      <c r="N499" s="221"/>
      <c r="O499" s="221"/>
      <c r="P499" s="221"/>
      <c r="Q499" s="221"/>
      <c r="R499" s="221"/>
      <c r="S499" s="221"/>
      <c r="T499" s="221"/>
      <c r="U499" s="221"/>
      <c r="V499" s="221"/>
      <c r="W499" s="221"/>
      <c r="X499" s="221"/>
    </row>
    <row r="500" spans="1:24" ht="14" x14ac:dyDescent="0.3">
      <c r="A500" s="221"/>
      <c r="B500" s="221"/>
      <c r="C500" s="221"/>
      <c r="D500" s="221"/>
      <c r="E500" s="221"/>
      <c r="F500" s="221"/>
      <c r="G500" s="221"/>
      <c r="H500" s="221"/>
      <c r="I500" s="221"/>
      <c r="J500" s="221"/>
      <c r="K500" s="221"/>
      <c r="L500" s="221"/>
      <c r="M500" s="221"/>
      <c r="N500" s="221"/>
      <c r="O500" s="221"/>
      <c r="P500" s="221"/>
      <c r="Q500" s="221"/>
      <c r="R500" s="221"/>
      <c r="S500" s="221"/>
      <c r="T500" s="221"/>
      <c r="U500" s="221"/>
      <c r="V500" s="221"/>
      <c r="W500" s="221"/>
      <c r="X500" s="221"/>
    </row>
    <row r="501" spans="1:24" ht="14" x14ac:dyDescent="0.3">
      <c r="A501" s="221"/>
      <c r="B501" s="221"/>
      <c r="C501" s="221"/>
      <c r="D501" s="221"/>
      <c r="E501" s="221"/>
      <c r="F501" s="221"/>
      <c r="G501" s="221"/>
      <c r="H501" s="221"/>
      <c r="I501" s="221"/>
      <c r="J501" s="221"/>
      <c r="K501" s="221"/>
      <c r="L501" s="221"/>
      <c r="M501" s="221"/>
      <c r="N501" s="221"/>
      <c r="O501" s="221"/>
      <c r="P501" s="221"/>
      <c r="Q501" s="221"/>
      <c r="R501" s="221"/>
      <c r="S501" s="221"/>
      <c r="T501" s="221"/>
      <c r="U501" s="221"/>
      <c r="V501" s="221"/>
      <c r="W501" s="221"/>
      <c r="X501" s="221"/>
    </row>
    <row r="502" spans="1:24" ht="14" x14ac:dyDescent="0.3">
      <c r="A502" s="221"/>
      <c r="B502" s="221"/>
      <c r="C502" s="221"/>
      <c r="D502" s="221"/>
      <c r="E502" s="221"/>
      <c r="F502" s="221"/>
      <c r="G502" s="221"/>
      <c r="H502" s="221"/>
      <c r="I502" s="221"/>
      <c r="J502" s="221"/>
      <c r="K502" s="221"/>
      <c r="L502" s="221"/>
      <c r="M502" s="221"/>
      <c r="N502" s="221"/>
      <c r="O502" s="221"/>
      <c r="P502" s="221"/>
      <c r="Q502" s="221"/>
      <c r="R502" s="221"/>
      <c r="S502" s="221"/>
      <c r="T502" s="221"/>
      <c r="U502" s="221"/>
      <c r="V502" s="221"/>
      <c r="W502" s="221"/>
      <c r="X502" s="221"/>
    </row>
    <row r="503" spans="1:24" ht="14" x14ac:dyDescent="0.3">
      <c r="A503" s="221"/>
      <c r="B503" s="221"/>
      <c r="C503" s="221"/>
      <c r="D503" s="221"/>
      <c r="E503" s="221"/>
      <c r="F503" s="221"/>
      <c r="G503" s="221"/>
      <c r="H503" s="221"/>
      <c r="I503" s="221"/>
      <c r="J503" s="221"/>
      <c r="K503" s="221"/>
      <c r="L503" s="221"/>
      <c r="M503" s="221"/>
      <c r="N503" s="221"/>
      <c r="O503" s="221"/>
      <c r="P503" s="221"/>
      <c r="Q503" s="221"/>
      <c r="R503" s="221"/>
      <c r="S503" s="221"/>
      <c r="T503" s="221"/>
      <c r="U503" s="221"/>
      <c r="V503" s="221"/>
      <c r="W503" s="221"/>
      <c r="X503" s="221"/>
    </row>
    <row r="504" spans="1:24" ht="14" x14ac:dyDescent="0.3">
      <c r="A504" s="221"/>
      <c r="B504" s="221"/>
      <c r="C504" s="221"/>
      <c r="D504" s="221"/>
      <c r="E504" s="221"/>
      <c r="F504" s="221"/>
      <c r="G504" s="221"/>
      <c r="H504" s="221"/>
      <c r="I504" s="221"/>
      <c r="J504" s="221"/>
      <c r="K504" s="221"/>
      <c r="L504" s="221"/>
      <c r="M504" s="221"/>
      <c r="N504" s="221"/>
      <c r="O504" s="221"/>
      <c r="P504" s="221"/>
      <c r="Q504" s="221"/>
      <c r="R504" s="221"/>
      <c r="S504" s="221"/>
      <c r="T504" s="221"/>
      <c r="U504" s="221"/>
      <c r="V504" s="221"/>
      <c r="W504" s="221"/>
      <c r="X504" s="221"/>
    </row>
    <row r="505" spans="1:24" ht="14" x14ac:dyDescent="0.3">
      <c r="A505" s="221"/>
      <c r="B505" s="221"/>
      <c r="C505" s="221"/>
      <c r="D505" s="221"/>
      <c r="E505" s="221"/>
      <c r="F505" s="221"/>
      <c r="G505" s="221"/>
      <c r="H505" s="221"/>
      <c r="I505" s="221"/>
      <c r="J505" s="221"/>
      <c r="K505" s="221"/>
      <c r="L505" s="221"/>
      <c r="M505" s="221"/>
      <c r="N505" s="221"/>
      <c r="O505" s="221"/>
      <c r="P505" s="221"/>
      <c r="Q505" s="221"/>
      <c r="R505" s="221"/>
      <c r="S505" s="221"/>
      <c r="T505" s="221"/>
      <c r="U505" s="221"/>
      <c r="V505" s="221"/>
      <c r="W505" s="221"/>
      <c r="X505" s="221"/>
    </row>
    <row r="506" spans="1:24" ht="14" x14ac:dyDescent="0.3">
      <c r="A506" s="221"/>
      <c r="B506" s="221"/>
      <c r="C506" s="221"/>
      <c r="D506" s="221"/>
      <c r="E506" s="221"/>
      <c r="F506" s="221"/>
      <c r="G506" s="221"/>
      <c r="H506" s="221"/>
      <c r="I506" s="221"/>
      <c r="J506" s="221"/>
      <c r="K506" s="221"/>
      <c r="L506" s="221"/>
      <c r="M506" s="221"/>
      <c r="N506" s="221"/>
      <c r="O506" s="221"/>
      <c r="P506" s="221"/>
      <c r="Q506" s="221"/>
      <c r="R506" s="221"/>
      <c r="S506" s="221"/>
      <c r="T506" s="221"/>
      <c r="U506" s="221"/>
      <c r="V506" s="221"/>
      <c r="W506" s="221"/>
      <c r="X506" s="221"/>
    </row>
    <row r="507" spans="1:24" ht="14" x14ac:dyDescent="0.3">
      <c r="A507" s="221"/>
      <c r="B507" s="221"/>
      <c r="C507" s="221"/>
      <c r="D507" s="221"/>
      <c r="E507" s="221"/>
      <c r="F507" s="221"/>
      <c r="G507" s="221"/>
      <c r="H507" s="221"/>
      <c r="I507" s="221"/>
      <c r="J507" s="221"/>
      <c r="K507" s="221"/>
      <c r="L507" s="221"/>
      <c r="M507" s="221"/>
      <c r="N507" s="221"/>
      <c r="O507" s="221"/>
      <c r="P507" s="221"/>
      <c r="Q507" s="221"/>
      <c r="R507" s="221"/>
      <c r="S507" s="221"/>
      <c r="T507" s="221"/>
      <c r="U507" s="221"/>
      <c r="V507" s="221"/>
      <c r="W507" s="221"/>
      <c r="X507" s="221"/>
    </row>
    <row r="508" spans="1:24" ht="14" x14ac:dyDescent="0.3">
      <c r="A508" s="221"/>
      <c r="B508" s="221"/>
      <c r="C508" s="221"/>
      <c r="D508" s="221"/>
      <c r="E508" s="221"/>
      <c r="F508" s="221"/>
      <c r="G508" s="221"/>
      <c r="H508" s="221"/>
      <c r="I508" s="221"/>
      <c r="J508" s="221"/>
      <c r="K508" s="221"/>
      <c r="L508" s="221"/>
      <c r="M508" s="221"/>
      <c r="N508" s="221"/>
      <c r="O508" s="221"/>
      <c r="P508" s="221"/>
      <c r="Q508" s="221"/>
      <c r="R508" s="221"/>
      <c r="S508" s="221"/>
      <c r="T508" s="221"/>
      <c r="U508" s="221"/>
      <c r="V508" s="221"/>
      <c r="W508" s="221"/>
      <c r="X508" s="221"/>
    </row>
    <row r="509" spans="1:24" ht="14" x14ac:dyDescent="0.3">
      <c r="A509" s="221"/>
      <c r="B509" s="221"/>
      <c r="C509" s="221"/>
      <c r="D509" s="221"/>
      <c r="E509" s="221"/>
      <c r="F509" s="221"/>
      <c r="G509" s="221"/>
      <c r="H509" s="221"/>
      <c r="I509" s="221"/>
      <c r="J509" s="221"/>
      <c r="K509" s="221"/>
      <c r="L509" s="221"/>
      <c r="M509" s="221"/>
      <c r="N509" s="221"/>
      <c r="O509" s="221"/>
      <c r="P509" s="221"/>
      <c r="Q509" s="221"/>
      <c r="R509" s="221"/>
      <c r="S509" s="221"/>
      <c r="T509" s="221"/>
      <c r="U509" s="221"/>
      <c r="V509" s="221"/>
      <c r="W509" s="221"/>
      <c r="X509" s="221"/>
    </row>
    <row r="510" spans="1:24" ht="14" x14ac:dyDescent="0.3">
      <c r="A510" s="221"/>
      <c r="B510" s="221"/>
      <c r="C510" s="221"/>
      <c r="D510" s="221"/>
      <c r="E510" s="221"/>
      <c r="F510" s="221"/>
      <c r="G510" s="221"/>
      <c r="H510" s="221"/>
      <c r="I510" s="221"/>
      <c r="J510" s="221"/>
      <c r="K510" s="221"/>
      <c r="L510" s="221"/>
      <c r="M510" s="221"/>
      <c r="N510" s="221"/>
      <c r="O510" s="221"/>
      <c r="P510" s="221"/>
      <c r="Q510" s="221"/>
      <c r="R510" s="221"/>
      <c r="S510" s="221"/>
      <c r="T510" s="221"/>
      <c r="U510" s="221"/>
      <c r="V510" s="221"/>
      <c r="W510" s="221"/>
      <c r="X510" s="221"/>
    </row>
    <row r="511" spans="1:24" ht="14" x14ac:dyDescent="0.3">
      <c r="A511" s="221"/>
      <c r="B511" s="221"/>
      <c r="C511" s="221"/>
      <c r="D511" s="221"/>
      <c r="E511" s="221"/>
      <c r="F511" s="221"/>
      <c r="G511" s="221"/>
      <c r="H511" s="221"/>
      <c r="I511" s="221"/>
      <c r="J511" s="221"/>
      <c r="K511" s="221"/>
      <c r="L511" s="221"/>
      <c r="M511" s="221"/>
      <c r="N511" s="221"/>
      <c r="O511" s="221"/>
      <c r="P511" s="221"/>
      <c r="Q511" s="221"/>
      <c r="R511" s="221"/>
      <c r="S511" s="221"/>
      <c r="T511" s="221"/>
      <c r="U511" s="221"/>
      <c r="V511" s="221"/>
      <c r="W511" s="221"/>
      <c r="X511" s="221"/>
    </row>
    <row r="512" spans="1:24" ht="14" x14ac:dyDescent="0.3">
      <c r="A512" s="221"/>
      <c r="B512" s="221"/>
      <c r="C512" s="221"/>
      <c r="D512" s="221"/>
      <c r="E512" s="221"/>
      <c r="F512" s="221"/>
      <c r="G512" s="221"/>
      <c r="H512" s="221"/>
      <c r="I512" s="221"/>
      <c r="J512" s="221"/>
      <c r="K512" s="221"/>
      <c r="L512" s="221"/>
      <c r="M512" s="221"/>
      <c r="N512" s="221"/>
      <c r="O512" s="221"/>
      <c r="P512" s="221"/>
      <c r="Q512" s="221"/>
      <c r="R512" s="221"/>
      <c r="S512" s="221"/>
      <c r="T512" s="221"/>
      <c r="U512" s="221"/>
      <c r="V512" s="221"/>
      <c r="W512" s="221"/>
      <c r="X512" s="221"/>
    </row>
    <row r="513" spans="1:24" ht="14" x14ac:dyDescent="0.3">
      <c r="A513" s="221"/>
      <c r="B513" s="221"/>
      <c r="C513" s="221"/>
      <c r="D513" s="221"/>
      <c r="E513" s="221"/>
      <c r="F513" s="221"/>
      <c r="G513" s="221"/>
      <c r="H513" s="221"/>
      <c r="I513" s="221"/>
      <c r="J513" s="221"/>
      <c r="K513" s="221"/>
      <c r="L513" s="221"/>
      <c r="M513" s="221"/>
      <c r="N513" s="221"/>
      <c r="O513" s="221"/>
      <c r="P513" s="221"/>
      <c r="Q513" s="221"/>
      <c r="R513" s="221"/>
      <c r="S513" s="221"/>
      <c r="T513" s="221"/>
      <c r="U513" s="221"/>
      <c r="V513" s="221"/>
      <c r="W513" s="221"/>
      <c r="X513" s="221"/>
    </row>
    <row r="514" spans="1:24" ht="14" x14ac:dyDescent="0.3">
      <c r="A514" s="221"/>
      <c r="B514" s="221"/>
      <c r="C514" s="221"/>
      <c r="D514" s="221"/>
      <c r="E514" s="221"/>
      <c r="F514" s="221"/>
      <c r="G514" s="221"/>
      <c r="H514" s="221"/>
      <c r="I514" s="221"/>
      <c r="J514" s="221"/>
      <c r="K514" s="221"/>
      <c r="L514" s="221"/>
      <c r="M514" s="221"/>
      <c r="N514" s="221"/>
      <c r="O514" s="221"/>
      <c r="P514" s="221"/>
      <c r="Q514" s="221"/>
      <c r="R514" s="221"/>
      <c r="S514" s="221"/>
      <c r="T514" s="221"/>
      <c r="U514" s="221"/>
      <c r="V514" s="221"/>
      <c r="W514" s="221"/>
      <c r="X514" s="221"/>
    </row>
    <row r="515" spans="1:24" ht="14" x14ac:dyDescent="0.3">
      <c r="A515" s="221"/>
      <c r="B515" s="221"/>
      <c r="C515" s="221"/>
      <c r="D515" s="221"/>
      <c r="E515" s="221"/>
      <c r="F515" s="221"/>
      <c r="G515" s="221"/>
      <c r="H515" s="221"/>
      <c r="I515" s="221"/>
      <c r="J515" s="221"/>
      <c r="K515" s="221"/>
      <c r="L515" s="221"/>
      <c r="M515" s="221"/>
      <c r="N515" s="221"/>
      <c r="O515" s="221"/>
      <c r="P515" s="221"/>
      <c r="Q515" s="221"/>
      <c r="R515" s="221"/>
      <c r="S515" s="221"/>
      <c r="T515" s="221"/>
      <c r="U515" s="221"/>
      <c r="V515" s="221"/>
      <c r="W515" s="221"/>
      <c r="X515" s="221"/>
    </row>
    <row r="516" spans="1:24" ht="14" x14ac:dyDescent="0.3">
      <c r="A516" s="221"/>
      <c r="B516" s="221"/>
      <c r="C516" s="221"/>
      <c r="D516" s="221"/>
      <c r="E516" s="221"/>
      <c r="F516" s="221"/>
      <c r="G516" s="221"/>
      <c r="H516" s="221"/>
      <c r="I516" s="221"/>
      <c r="J516" s="221"/>
      <c r="K516" s="221"/>
      <c r="L516" s="221"/>
      <c r="M516" s="221"/>
      <c r="N516" s="221"/>
      <c r="O516" s="221"/>
      <c r="P516" s="221"/>
      <c r="Q516" s="221"/>
      <c r="R516" s="221"/>
      <c r="S516" s="221"/>
      <c r="T516" s="221"/>
      <c r="U516" s="221"/>
      <c r="V516" s="221"/>
      <c r="W516" s="221"/>
      <c r="X516" s="221"/>
    </row>
    <row r="517" spans="1:24" ht="14" x14ac:dyDescent="0.3">
      <c r="A517" s="221"/>
      <c r="B517" s="221"/>
      <c r="C517" s="221"/>
      <c r="D517" s="221"/>
      <c r="E517" s="221"/>
      <c r="F517" s="221"/>
      <c r="G517" s="221"/>
      <c r="H517" s="221"/>
      <c r="I517" s="221"/>
      <c r="J517" s="221"/>
      <c r="K517" s="221"/>
      <c r="L517" s="221"/>
      <c r="M517" s="221"/>
      <c r="N517" s="221"/>
      <c r="O517" s="221"/>
      <c r="P517" s="221"/>
      <c r="Q517" s="221"/>
      <c r="R517" s="221"/>
      <c r="S517" s="221"/>
      <c r="T517" s="221"/>
      <c r="U517" s="221"/>
      <c r="V517" s="221"/>
      <c r="W517" s="221"/>
      <c r="X517" s="221"/>
    </row>
    <row r="518" spans="1:24" ht="14" x14ac:dyDescent="0.3">
      <c r="A518" s="221"/>
      <c r="B518" s="221"/>
      <c r="C518" s="221"/>
      <c r="D518" s="221"/>
      <c r="E518" s="221"/>
      <c r="F518" s="221"/>
      <c r="G518" s="221"/>
      <c r="H518" s="221"/>
      <c r="I518" s="221"/>
      <c r="J518" s="221"/>
      <c r="K518" s="221"/>
      <c r="L518" s="221"/>
      <c r="M518" s="221"/>
      <c r="N518" s="221"/>
      <c r="O518" s="221"/>
      <c r="P518" s="221"/>
      <c r="Q518" s="221"/>
      <c r="R518" s="221"/>
      <c r="S518" s="221"/>
      <c r="T518" s="221"/>
      <c r="U518" s="221"/>
      <c r="V518" s="221"/>
      <c r="W518" s="221"/>
      <c r="X518" s="221"/>
    </row>
    <row r="519" spans="1:24" ht="14" x14ac:dyDescent="0.3">
      <c r="A519" s="221"/>
      <c r="B519" s="221"/>
      <c r="C519" s="221"/>
      <c r="D519" s="221"/>
      <c r="E519" s="221"/>
      <c r="F519" s="221"/>
      <c r="G519" s="221"/>
      <c r="H519" s="221"/>
      <c r="I519" s="221"/>
      <c r="J519" s="221"/>
      <c r="K519" s="221"/>
      <c r="L519" s="221"/>
      <c r="M519" s="221"/>
      <c r="N519" s="221"/>
      <c r="O519" s="221"/>
      <c r="P519" s="221"/>
      <c r="Q519" s="221"/>
      <c r="R519" s="221"/>
      <c r="S519" s="221"/>
      <c r="T519" s="221"/>
      <c r="U519" s="221"/>
      <c r="V519" s="221"/>
      <c r="W519" s="221"/>
      <c r="X519" s="221"/>
    </row>
    <row r="520" spans="1:24" ht="14" x14ac:dyDescent="0.3">
      <c r="A520" s="221"/>
      <c r="B520" s="221"/>
      <c r="C520" s="221"/>
      <c r="D520" s="221"/>
      <c r="E520" s="221"/>
      <c r="F520" s="221"/>
      <c r="G520" s="221"/>
      <c r="H520" s="221"/>
      <c r="I520" s="221"/>
      <c r="J520" s="221"/>
      <c r="K520" s="221"/>
      <c r="L520" s="221"/>
      <c r="M520" s="221"/>
      <c r="N520" s="221"/>
      <c r="O520" s="221"/>
      <c r="P520" s="221"/>
      <c r="Q520" s="221"/>
      <c r="R520" s="221"/>
      <c r="S520" s="221"/>
      <c r="T520" s="221"/>
      <c r="U520" s="221"/>
      <c r="V520" s="221"/>
      <c r="W520" s="221"/>
      <c r="X520" s="221"/>
    </row>
    <row r="521" spans="1:24" ht="14" x14ac:dyDescent="0.3">
      <c r="A521" s="221"/>
      <c r="B521" s="221"/>
      <c r="C521" s="221"/>
      <c r="D521" s="221"/>
      <c r="E521" s="221"/>
      <c r="F521" s="221"/>
      <c r="G521" s="221"/>
      <c r="H521" s="221"/>
      <c r="I521" s="221"/>
      <c r="J521" s="221"/>
      <c r="K521" s="221"/>
      <c r="L521" s="221"/>
      <c r="M521" s="221"/>
      <c r="N521" s="221"/>
      <c r="O521" s="221"/>
      <c r="P521" s="221"/>
      <c r="Q521" s="221"/>
      <c r="R521" s="221"/>
      <c r="S521" s="221"/>
      <c r="T521" s="221"/>
      <c r="U521" s="221"/>
      <c r="V521" s="221"/>
      <c r="W521" s="221"/>
      <c r="X521" s="221"/>
    </row>
    <row r="522" spans="1:24" ht="14" x14ac:dyDescent="0.3">
      <c r="A522" s="221"/>
      <c r="B522" s="221"/>
      <c r="C522" s="221"/>
      <c r="D522" s="221"/>
      <c r="E522" s="221"/>
      <c r="F522" s="221"/>
      <c r="G522" s="221"/>
      <c r="H522" s="221"/>
      <c r="I522" s="221"/>
      <c r="J522" s="221"/>
      <c r="K522" s="221"/>
      <c r="L522" s="221"/>
      <c r="M522" s="221"/>
      <c r="N522" s="221"/>
      <c r="O522" s="221"/>
      <c r="P522" s="221"/>
      <c r="Q522" s="221"/>
      <c r="R522" s="221"/>
      <c r="S522" s="221"/>
      <c r="T522" s="221"/>
      <c r="U522" s="221"/>
      <c r="V522" s="221"/>
      <c r="W522" s="221"/>
      <c r="X522" s="221"/>
    </row>
    <row r="523" spans="1:24" ht="14" x14ac:dyDescent="0.3">
      <c r="A523" s="221"/>
      <c r="B523" s="221"/>
      <c r="C523" s="221"/>
      <c r="D523" s="221"/>
      <c r="E523" s="221"/>
      <c r="F523" s="221"/>
      <c r="G523" s="221"/>
      <c r="H523" s="221"/>
      <c r="I523" s="221"/>
      <c r="J523" s="221"/>
      <c r="K523" s="221"/>
      <c r="L523" s="221"/>
      <c r="M523" s="221"/>
      <c r="N523" s="221"/>
      <c r="O523" s="221"/>
      <c r="P523" s="221"/>
      <c r="Q523" s="221"/>
      <c r="R523" s="221"/>
      <c r="S523" s="221"/>
      <c r="T523" s="221"/>
      <c r="U523" s="221"/>
      <c r="V523" s="221"/>
      <c r="W523" s="221"/>
      <c r="X523" s="221"/>
    </row>
    <row r="524" spans="1:24" ht="14" x14ac:dyDescent="0.3">
      <c r="A524" s="221"/>
      <c r="B524" s="221"/>
      <c r="C524" s="221"/>
      <c r="D524" s="221"/>
      <c r="E524" s="221"/>
      <c r="F524" s="221"/>
      <c r="G524" s="221"/>
      <c r="H524" s="221"/>
      <c r="I524" s="221"/>
      <c r="J524" s="221"/>
      <c r="K524" s="221"/>
      <c r="L524" s="221"/>
      <c r="M524" s="221"/>
      <c r="N524" s="221"/>
      <c r="O524" s="221"/>
      <c r="P524" s="221"/>
      <c r="Q524" s="221"/>
      <c r="R524" s="221"/>
      <c r="S524" s="221"/>
      <c r="T524" s="221"/>
      <c r="U524" s="221"/>
      <c r="V524" s="221"/>
      <c r="W524" s="221"/>
      <c r="X524" s="221"/>
    </row>
    <row r="525" spans="1:24" ht="14" x14ac:dyDescent="0.3">
      <c r="A525" s="221"/>
      <c r="B525" s="221"/>
      <c r="C525" s="221"/>
      <c r="D525" s="221"/>
      <c r="E525" s="221"/>
      <c r="F525" s="221"/>
      <c r="G525" s="221"/>
      <c r="H525" s="221"/>
      <c r="I525" s="221"/>
      <c r="J525" s="221"/>
      <c r="K525" s="221"/>
      <c r="L525" s="221"/>
      <c r="M525" s="221"/>
      <c r="N525" s="221"/>
      <c r="O525" s="221"/>
      <c r="P525" s="221"/>
      <c r="Q525" s="221"/>
      <c r="R525" s="221"/>
      <c r="S525" s="221"/>
      <c r="T525" s="221"/>
      <c r="U525" s="221"/>
      <c r="V525" s="221"/>
      <c r="W525" s="221"/>
      <c r="X525" s="221"/>
    </row>
    <row r="526" spans="1:24" ht="14" x14ac:dyDescent="0.3">
      <c r="A526" s="221"/>
      <c r="B526" s="221"/>
      <c r="C526" s="221"/>
      <c r="D526" s="221"/>
      <c r="E526" s="221"/>
      <c r="F526" s="221"/>
      <c r="G526" s="221"/>
      <c r="H526" s="221"/>
      <c r="I526" s="221"/>
      <c r="J526" s="221"/>
      <c r="K526" s="221"/>
      <c r="L526" s="221"/>
      <c r="M526" s="221"/>
      <c r="N526" s="221"/>
      <c r="O526" s="221"/>
      <c r="P526" s="221"/>
      <c r="Q526" s="221"/>
      <c r="R526" s="221"/>
      <c r="S526" s="221"/>
      <c r="T526" s="221"/>
      <c r="U526" s="221"/>
      <c r="V526" s="221"/>
      <c r="W526" s="221"/>
      <c r="X526" s="221"/>
    </row>
    <row r="527" spans="1:24" ht="14" x14ac:dyDescent="0.3">
      <c r="A527" s="221"/>
      <c r="B527" s="221"/>
      <c r="C527" s="221"/>
      <c r="D527" s="221"/>
      <c r="E527" s="221"/>
      <c r="F527" s="221"/>
      <c r="G527" s="221"/>
      <c r="H527" s="221"/>
      <c r="I527" s="221"/>
      <c r="J527" s="221"/>
      <c r="K527" s="221"/>
      <c r="L527" s="221"/>
      <c r="M527" s="221"/>
      <c r="N527" s="221"/>
      <c r="O527" s="221"/>
      <c r="P527" s="221"/>
      <c r="Q527" s="221"/>
      <c r="R527" s="221"/>
      <c r="S527" s="221"/>
      <c r="T527" s="221"/>
      <c r="U527" s="221"/>
      <c r="V527" s="221"/>
      <c r="W527" s="221"/>
      <c r="X527" s="221"/>
    </row>
    <row r="528" spans="1:24" ht="14" x14ac:dyDescent="0.3">
      <c r="A528" s="221"/>
      <c r="B528" s="221"/>
      <c r="C528" s="221"/>
      <c r="D528" s="221"/>
      <c r="E528" s="221"/>
      <c r="F528" s="221"/>
      <c r="G528" s="221"/>
      <c r="H528" s="221"/>
      <c r="I528" s="221"/>
      <c r="J528" s="221"/>
      <c r="K528" s="221"/>
      <c r="L528" s="221"/>
      <c r="M528" s="221"/>
      <c r="N528" s="221"/>
      <c r="O528" s="221"/>
      <c r="P528" s="221"/>
      <c r="Q528" s="221"/>
      <c r="R528" s="221"/>
      <c r="S528" s="221"/>
      <c r="T528" s="221"/>
      <c r="U528" s="221"/>
      <c r="V528" s="221"/>
      <c r="W528" s="221"/>
      <c r="X528" s="221"/>
    </row>
    <row r="529" spans="1:24" ht="14" x14ac:dyDescent="0.3">
      <c r="A529" s="221"/>
      <c r="B529" s="221"/>
      <c r="C529" s="221"/>
      <c r="D529" s="221"/>
      <c r="E529" s="221"/>
      <c r="F529" s="221"/>
      <c r="G529" s="221"/>
      <c r="H529" s="221"/>
      <c r="I529" s="221"/>
      <c r="J529" s="221"/>
      <c r="K529" s="221"/>
      <c r="L529" s="221"/>
      <c r="M529" s="221"/>
      <c r="N529" s="221"/>
      <c r="O529" s="221"/>
      <c r="P529" s="221"/>
      <c r="Q529" s="221"/>
      <c r="R529" s="221"/>
      <c r="S529" s="221"/>
      <c r="T529" s="221"/>
      <c r="U529" s="221"/>
      <c r="V529" s="221"/>
      <c r="W529" s="221"/>
      <c r="X529" s="221"/>
    </row>
    <row r="530" spans="1:24" ht="14" x14ac:dyDescent="0.3">
      <c r="A530" s="221"/>
      <c r="B530" s="221"/>
      <c r="C530" s="221"/>
      <c r="D530" s="221"/>
      <c r="E530" s="221"/>
      <c r="F530" s="221"/>
      <c r="G530" s="221"/>
      <c r="H530" s="221"/>
      <c r="I530" s="221"/>
      <c r="J530" s="221"/>
      <c r="K530" s="221"/>
      <c r="L530" s="221"/>
      <c r="M530" s="221"/>
      <c r="N530" s="221"/>
      <c r="O530" s="221"/>
      <c r="P530" s="221"/>
      <c r="Q530" s="221"/>
      <c r="R530" s="221"/>
      <c r="S530" s="221"/>
      <c r="T530" s="221"/>
      <c r="U530" s="221"/>
      <c r="V530" s="221"/>
      <c r="W530" s="221"/>
      <c r="X530" s="221"/>
    </row>
    <row r="531" spans="1:24" ht="14" x14ac:dyDescent="0.3">
      <c r="A531" s="221"/>
      <c r="B531" s="221"/>
      <c r="C531" s="221"/>
      <c r="D531" s="221"/>
      <c r="E531" s="221"/>
      <c r="F531" s="221"/>
      <c r="G531" s="221"/>
      <c r="H531" s="221"/>
      <c r="I531" s="221"/>
      <c r="J531" s="221"/>
      <c r="K531" s="221"/>
      <c r="L531" s="221"/>
      <c r="M531" s="221"/>
      <c r="N531" s="221"/>
      <c r="O531" s="221"/>
      <c r="P531" s="221"/>
      <c r="Q531" s="221"/>
      <c r="R531" s="221"/>
      <c r="S531" s="221"/>
      <c r="T531" s="221"/>
      <c r="U531" s="221"/>
      <c r="V531" s="221"/>
      <c r="W531" s="221"/>
      <c r="X531" s="221"/>
    </row>
    <row r="532" spans="1:24" ht="14" x14ac:dyDescent="0.3">
      <c r="A532" s="221"/>
      <c r="B532" s="221"/>
      <c r="C532" s="221"/>
      <c r="D532" s="221"/>
      <c r="E532" s="221"/>
      <c r="F532" s="221"/>
      <c r="G532" s="221"/>
      <c r="H532" s="221"/>
      <c r="I532" s="221"/>
      <c r="J532" s="221"/>
      <c r="K532" s="221"/>
      <c r="L532" s="221"/>
      <c r="M532" s="221"/>
      <c r="N532" s="221"/>
      <c r="O532" s="221"/>
      <c r="P532" s="221"/>
      <c r="Q532" s="221"/>
      <c r="R532" s="221"/>
      <c r="S532" s="221"/>
      <c r="T532" s="221"/>
      <c r="U532" s="221"/>
      <c r="V532" s="221"/>
      <c r="W532" s="221"/>
      <c r="X532" s="221"/>
    </row>
    <row r="533" spans="1:24" ht="14" x14ac:dyDescent="0.3">
      <c r="A533" s="221"/>
      <c r="B533" s="221"/>
      <c r="C533" s="221"/>
      <c r="D533" s="221"/>
      <c r="E533" s="221"/>
      <c r="F533" s="221"/>
      <c r="G533" s="221"/>
      <c r="H533" s="221"/>
      <c r="I533" s="221"/>
      <c r="J533" s="221"/>
      <c r="K533" s="221"/>
      <c r="L533" s="221"/>
      <c r="M533" s="221"/>
      <c r="N533" s="221"/>
      <c r="O533" s="221"/>
      <c r="P533" s="221"/>
      <c r="Q533" s="221"/>
      <c r="R533" s="221"/>
      <c r="S533" s="221"/>
      <c r="T533" s="221"/>
      <c r="U533" s="221"/>
      <c r="V533" s="221"/>
      <c r="W533" s="221"/>
      <c r="X533" s="221"/>
    </row>
    <row r="534" spans="1:24" ht="14" x14ac:dyDescent="0.3">
      <c r="A534" s="221"/>
      <c r="B534" s="221"/>
      <c r="C534" s="221"/>
      <c r="D534" s="221"/>
      <c r="E534" s="221"/>
      <c r="F534" s="221"/>
      <c r="G534" s="221"/>
      <c r="H534" s="221"/>
      <c r="I534" s="221"/>
      <c r="J534" s="221"/>
      <c r="K534" s="221"/>
      <c r="L534" s="221"/>
      <c r="M534" s="221"/>
      <c r="N534" s="221"/>
      <c r="O534" s="221"/>
      <c r="P534" s="221"/>
      <c r="Q534" s="221"/>
      <c r="R534" s="221"/>
      <c r="S534" s="221"/>
      <c r="T534" s="221"/>
      <c r="U534" s="221"/>
      <c r="V534" s="221"/>
      <c r="W534" s="221"/>
      <c r="X534" s="221"/>
    </row>
    <row r="535" spans="1:24" ht="14" x14ac:dyDescent="0.3">
      <c r="A535" s="221"/>
      <c r="B535" s="221"/>
      <c r="C535" s="221"/>
      <c r="D535" s="221"/>
      <c r="E535" s="221"/>
      <c r="F535" s="221"/>
      <c r="G535" s="221"/>
      <c r="H535" s="221"/>
      <c r="I535" s="221"/>
      <c r="J535" s="221"/>
      <c r="K535" s="221"/>
      <c r="L535" s="221"/>
      <c r="M535" s="221"/>
      <c r="N535" s="221"/>
      <c r="O535" s="221"/>
      <c r="P535" s="221"/>
      <c r="Q535" s="221"/>
      <c r="R535" s="221"/>
      <c r="S535" s="221"/>
      <c r="T535" s="221"/>
      <c r="U535" s="221"/>
      <c r="V535" s="221"/>
      <c r="W535" s="221"/>
      <c r="X535" s="221"/>
    </row>
    <row r="536" spans="1:24" ht="14" x14ac:dyDescent="0.3">
      <c r="A536" s="221"/>
      <c r="B536" s="221"/>
      <c r="C536" s="221"/>
      <c r="D536" s="221"/>
      <c r="E536" s="221"/>
      <c r="F536" s="221"/>
      <c r="G536" s="221"/>
      <c r="H536" s="221"/>
      <c r="I536" s="221"/>
      <c r="J536" s="221"/>
      <c r="K536" s="221"/>
      <c r="L536" s="221"/>
      <c r="M536" s="221"/>
      <c r="N536" s="221"/>
      <c r="O536" s="221"/>
      <c r="P536" s="221"/>
      <c r="Q536" s="221"/>
      <c r="R536" s="221"/>
      <c r="S536" s="221"/>
      <c r="T536" s="221"/>
      <c r="U536" s="221"/>
      <c r="V536" s="221"/>
      <c r="W536" s="221"/>
      <c r="X536" s="221"/>
    </row>
    <row r="537" spans="1:24" ht="14" x14ac:dyDescent="0.3">
      <c r="A537" s="221"/>
      <c r="B537" s="221"/>
      <c r="C537" s="221"/>
      <c r="D537" s="221"/>
      <c r="E537" s="221"/>
      <c r="F537" s="221"/>
      <c r="G537" s="221"/>
      <c r="H537" s="221"/>
      <c r="I537" s="221"/>
      <c r="J537" s="221"/>
      <c r="K537" s="221"/>
      <c r="L537" s="221"/>
      <c r="M537" s="221"/>
      <c r="N537" s="221"/>
      <c r="O537" s="221"/>
      <c r="P537" s="221"/>
      <c r="Q537" s="221"/>
      <c r="R537" s="221"/>
      <c r="S537" s="221"/>
      <c r="T537" s="221"/>
      <c r="U537" s="221"/>
      <c r="V537" s="221"/>
      <c r="W537" s="221"/>
      <c r="X537" s="221"/>
    </row>
    <row r="538" spans="1:24" ht="14" x14ac:dyDescent="0.3">
      <c r="A538" s="221"/>
      <c r="B538" s="221"/>
      <c r="C538" s="221"/>
      <c r="D538" s="221"/>
      <c r="E538" s="221"/>
      <c r="F538" s="221"/>
      <c r="G538" s="221"/>
      <c r="H538" s="221"/>
      <c r="I538" s="221"/>
      <c r="J538" s="221"/>
      <c r="K538" s="221"/>
      <c r="L538" s="221"/>
      <c r="M538" s="221"/>
      <c r="N538" s="221"/>
      <c r="O538" s="221"/>
      <c r="P538" s="221"/>
      <c r="Q538" s="221"/>
      <c r="R538" s="221"/>
      <c r="S538" s="221"/>
      <c r="T538" s="221"/>
      <c r="U538" s="221"/>
      <c r="V538" s="221"/>
      <c r="W538" s="221"/>
      <c r="X538" s="221"/>
    </row>
    <row r="539" spans="1:24" ht="14" x14ac:dyDescent="0.3">
      <c r="A539" s="221"/>
      <c r="B539" s="221"/>
      <c r="C539" s="221"/>
      <c r="D539" s="221"/>
      <c r="E539" s="221"/>
      <c r="F539" s="221"/>
      <c r="G539" s="221"/>
      <c r="H539" s="221"/>
      <c r="I539" s="221"/>
      <c r="J539" s="221"/>
      <c r="K539" s="221"/>
      <c r="L539" s="221"/>
      <c r="M539" s="221"/>
      <c r="N539" s="221"/>
      <c r="O539" s="221"/>
      <c r="P539" s="221"/>
      <c r="Q539" s="221"/>
      <c r="R539" s="221"/>
      <c r="S539" s="221"/>
      <c r="T539" s="221"/>
      <c r="U539" s="221"/>
      <c r="V539" s="221"/>
      <c r="W539" s="221"/>
      <c r="X539" s="221"/>
    </row>
    <row r="540" spans="1:24" ht="14" x14ac:dyDescent="0.3">
      <c r="A540" s="221"/>
      <c r="B540" s="221"/>
      <c r="C540" s="221"/>
      <c r="D540" s="221"/>
      <c r="E540" s="221"/>
      <c r="F540" s="221"/>
      <c r="G540" s="221"/>
      <c r="H540" s="221"/>
      <c r="I540" s="221"/>
      <c r="J540" s="221"/>
      <c r="K540" s="221"/>
      <c r="L540" s="221"/>
      <c r="M540" s="221"/>
      <c r="N540" s="221"/>
      <c r="O540" s="221"/>
      <c r="P540" s="221"/>
      <c r="Q540" s="221"/>
      <c r="R540" s="221"/>
      <c r="S540" s="221"/>
      <c r="T540" s="221"/>
      <c r="U540" s="221"/>
      <c r="V540" s="221"/>
      <c r="W540" s="221"/>
      <c r="X540" s="221"/>
    </row>
    <row r="541" spans="1:24" ht="14" x14ac:dyDescent="0.3">
      <c r="A541" s="221"/>
      <c r="B541" s="221"/>
      <c r="C541" s="221"/>
      <c r="D541" s="221"/>
      <c r="E541" s="221"/>
      <c r="F541" s="221"/>
      <c r="G541" s="221"/>
      <c r="H541" s="221"/>
      <c r="I541" s="221"/>
      <c r="J541" s="221"/>
      <c r="K541" s="221"/>
      <c r="L541" s="221"/>
      <c r="M541" s="221"/>
      <c r="N541" s="221"/>
      <c r="O541" s="221"/>
      <c r="P541" s="221"/>
      <c r="Q541" s="221"/>
      <c r="R541" s="221"/>
      <c r="S541" s="221"/>
      <c r="T541" s="221"/>
      <c r="U541" s="221"/>
      <c r="V541" s="221"/>
      <c r="W541" s="221"/>
      <c r="X541" s="221"/>
    </row>
    <row r="542" spans="1:24" ht="14" x14ac:dyDescent="0.3">
      <c r="A542" s="221"/>
      <c r="B542" s="221"/>
      <c r="C542" s="221"/>
      <c r="D542" s="221"/>
      <c r="E542" s="221"/>
      <c r="F542" s="221"/>
      <c r="G542" s="221"/>
      <c r="H542" s="221"/>
      <c r="I542" s="221"/>
      <c r="J542" s="221"/>
      <c r="K542" s="221"/>
      <c r="L542" s="221"/>
      <c r="M542" s="221"/>
      <c r="N542" s="221"/>
      <c r="O542" s="221"/>
      <c r="P542" s="221"/>
      <c r="Q542" s="221"/>
      <c r="R542" s="221"/>
      <c r="S542" s="221"/>
      <c r="T542" s="221"/>
      <c r="U542" s="221"/>
      <c r="V542" s="221"/>
      <c r="W542" s="221"/>
      <c r="X542" s="221"/>
    </row>
    <row r="543" spans="1:24" ht="14" x14ac:dyDescent="0.3">
      <c r="A543" s="221"/>
      <c r="B543" s="221"/>
      <c r="C543" s="221"/>
      <c r="D543" s="221"/>
      <c r="E543" s="221"/>
      <c r="F543" s="221"/>
      <c r="G543" s="221"/>
      <c r="H543" s="221"/>
      <c r="I543" s="221"/>
      <c r="J543" s="221"/>
      <c r="K543" s="221"/>
      <c r="L543" s="221"/>
      <c r="M543" s="221"/>
      <c r="N543" s="221"/>
      <c r="O543" s="221"/>
      <c r="P543" s="221"/>
      <c r="Q543" s="221"/>
      <c r="R543" s="221"/>
      <c r="S543" s="221"/>
      <c r="T543" s="221"/>
      <c r="U543" s="221"/>
      <c r="V543" s="221"/>
      <c r="W543" s="221"/>
      <c r="X543" s="221"/>
    </row>
    <row r="544" spans="1:24" ht="14" x14ac:dyDescent="0.3">
      <c r="A544" s="221"/>
      <c r="B544" s="221"/>
      <c r="C544" s="221"/>
      <c r="D544" s="221"/>
      <c r="E544" s="221"/>
      <c r="F544" s="221"/>
      <c r="G544" s="221"/>
      <c r="H544" s="221"/>
      <c r="I544" s="221"/>
      <c r="J544" s="221"/>
      <c r="K544" s="221"/>
      <c r="L544" s="221"/>
      <c r="M544" s="221"/>
      <c r="N544" s="221"/>
      <c r="O544" s="221"/>
      <c r="P544" s="221"/>
      <c r="Q544" s="221"/>
      <c r="R544" s="221"/>
      <c r="S544" s="221"/>
      <c r="T544" s="221"/>
      <c r="U544" s="221"/>
      <c r="V544" s="221"/>
      <c r="W544" s="221"/>
      <c r="X544" s="221"/>
    </row>
    <row r="545" spans="1:24" ht="14" x14ac:dyDescent="0.3">
      <c r="A545" s="221"/>
      <c r="B545" s="221"/>
      <c r="C545" s="221"/>
      <c r="D545" s="221"/>
      <c r="E545" s="221"/>
      <c r="F545" s="221"/>
      <c r="G545" s="221"/>
      <c r="H545" s="221"/>
      <c r="I545" s="221"/>
      <c r="J545" s="221"/>
      <c r="K545" s="221"/>
      <c r="L545" s="221"/>
      <c r="M545" s="221"/>
      <c r="N545" s="221"/>
      <c r="O545" s="221"/>
      <c r="P545" s="221"/>
      <c r="Q545" s="221"/>
      <c r="R545" s="221"/>
      <c r="S545" s="221"/>
      <c r="T545" s="221"/>
      <c r="U545" s="221"/>
      <c r="V545" s="221"/>
      <c r="W545" s="221"/>
      <c r="X545" s="221"/>
    </row>
    <row r="546" spans="1:24" ht="14" x14ac:dyDescent="0.3">
      <c r="A546" s="221"/>
      <c r="B546" s="221"/>
      <c r="C546" s="221"/>
      <c r="D546" s="221"/>
      <c r="E546" s="221"/>
      <c r="F546" s="221"/>
      <c r="G546" s="221"/>
      <c r="H546" s="221"/>
      <c r="I546" s="221"/>
      <c r="J546" s="221"/>
      <c r="K546" s="221"/>
      <c r="L546" s="221"/>
      <c r="M546" s="221"/>
      <c r="N546" s="221"/>
      <c r="O546" s="221"/>
      <c r="P546" s="221"/>
      <c r="Q546" s="221"/>
      <c r="R546" s="221"/>
      <c r="S546" s="221"/>
      <c r="T546" s="221"/>
      <c r="U546" s="221"/>
      <c r="V546" s="221"/>
      <c r="W546" s="221"/>
      <c r="X546" s="221"/>
    </row>
    <row r="547" spans="1:24" ht="14" x14ac:dyDescent="0.3">
      <c r="A547" s="221"/>
      <c r="B547" s="221"/>
      <c r="C547" s="221"/>
      <c r="D547" s="221"/>
      <c r="E547" s="221"/>
      <c r="F547" s="221"/>
      <c r="G547" s="221"/>
      <c r="H547" s="221"/>
      <c r="I547" s="221"/>
      <c r="J547" s="221"/>
      <c r="K547" s="221"/>
      <c r="L547" s="221"/>
      <c r="M547" s="221"/>
      <c r="N547" s="221"/>
      <c r="O547" s="221"/>
      <c r="P547" s="221"/>
      <c r="Q547" s="221"/>
      <c r="R547" s="221"/>
      <c r="S547" s="221"/>
      <c r="T547" s="221"/>
      <c r="U547" s="221"/>
      <c r="V547" s="221"/>
      <c r="W547" s="221"/>
      <c r="X547" s="221"/>
    </row>
    <row r="548" spans="1:24" ht="14" x14ac:dyDescent="0.3">
      <c r="A548" s="221"/>
      <c r="B548" s="221"/>
      <c r="C548" s="221"/>
      <c r="D548" s="221"/>
      <c r="E548" s="221"/>
      <c r="F548" s="221"/>
      <c r="G548" s="221"/>
      <c r="H548" s="221"/>
      <c r="I548" s="221"/>
      <c r="J548" s="221"/>
      <c r="K548" s="221"/>
      <c r="L548" s="221"/>
      <c r="M548" s="221"/>
      <c r="N548" s="221"/>
      <c r="O548" s="221"/>
      <c r="P548" s="221"/>
      <c r="Q548" s="221"/>
      <c r="R548" s="221"/>
      <c r="S548" s="221"/>
      <c r="T548" s="221"/>
      <c r="U548" s="221"/>
      <c r="V548" s="221"/>
      <c r="W548" s="221"/>
      <c r="X548" s="221"/>
    </row>
    <row r="549" spans="1:24" ht="14" x14ac:dyDescent="0.3">
      <c r="A549" s="221"/>
      <c r="B549" s="221"/>
      <c r="C549" s="221"/>
      <c r="D549" s="221"/>
      <c r="E549" s="221"/>
      <c r="F549" s="221"/>
      <c r="G549" s="221"/>
      <c r="H549" s="221"/>
      <c r="I549" s="221"/>
      <c r="J549" s="221"/>
      <c r="K549" s="221"/>
      <c r="L549" s="221"/>
      <c r="M549" s="221"/>
      <c r="N549" s="221"/>
      <c r="O549" s="221"/>
      <c r="P549" s="221"/>
      <c r="Q549" s="221"/>
      <c r="R549" s="221"/>
      <c r="S549" s="221"/>
      <c r="T549" s="221"/>
      <c r="U549" s="221"/>
      <c r="V549" s="221"/>
      <c r="W549" s="221"/>
      <c r="X549" s="221"/>
    </row>
    <row r="550" spans="1:24" ht="14" x14ac:dyDescent="0.3">
      <c r="A550" s="221"/>
      <c r="B550" s="221"/>
      <c r="C550" s="221"/>
      <c r="D550" s="221"/>
      <c r="E550" s="221"/>
      <c r="F550" s="221"/>
      <c r="G550" s="221"/>
      <c r="H550" s="221"/>
      <c r="I550" s="221"/>
      <c r="J550" s="221"/>
      <c r="K550" s="221"/>
      <c r="L550" s="221"/>
      <c r="M550" s="221"/>
      <c r="N550" s="221"/>
      <c r="O550" s="221"/>
      <c r="P550" s="221"/>
      <c r="Q550" s="221"/>
      <c r="R550" s="221"/>
      <c r="S550" s="221"/>
      <c r="T550" s="221"/>
      <c r="U550" s="221"/>
      <c r="V550" s="221"/>
      <c r="W550" s="221"/>
      <c r="X550" s="221"/>
    </row>
    <row r="551" spans="1:24" ht="14" x14ac:dyDescent="0.3">
      <c r="A551" s="221"/>
      <c r="B551" s="221"/>
      <c r="C551" s="221"/>
      <c r="D551" s="221"/>
      <c r="E551" s="221"/>
      <c r="F551" s="221"/>
      <c r="G551" s="221"/>
      <c r="H551" s="221"/>
      <c r="I551" s="221"/>
      <c r="J551" s="221"/>
      <c r="K551" s="221"/>
      <c r="L551" s="221"/>
      <c r="M551" s="221"/>
      <c r="N551" s="221"/>
      <c r="O551" s="221"/>
      <c r="P551" s="221"/>
      <c r="Q551" s="221"/>
      <c r="R551" s="221"/>
      <c r="S551" s="221"/>
      <c r="T551" s="221"/>
      <c r="U551" s="221"/>
      <c r="V551" s="221"/>
      <c r="W551" s="221"/>
      <c r="X551" s="221"/>
    </row>
    <row r="552" spans="1:24" ht="14" x14ac:dyDescent="0.3">
      <c r="A552" s="221"/>
      <c r="B552" s="221"/>
      <c r="C552" s="221"/>
      <c r="D552" s="221"/>
      <c r="E552" s="221"/>
      <c r="F552" s="221"/>
      <c r="G552" s="221"/>
      <c r="H552" s="221"/>
      <c r="I552" s="221"/>
      <c r="J552" s="221"/>
      <c r="K552" s="221"/>
      <c r="L552" s="221"/>
      <c r="M552" s="221"/>
      <c r="N552" s="221"/>
      <c r="O552" s="221"/>
      <c r="P552" s="221"/>
      <c r="Q552" s="221"/>
      <c r="R552" s="221"/>
      <c r="S552" s="221"/>
      <c r="T552" s="221"/>
      <c r="U552" s="221"/>
      <c r="V552" s="221"/>
      <c r="W552" s="221"/>
      <c r="X552" s="221"/>
    </row>
    <row r="553" spans="1:24" ht="14" x14ac:dyDescent="0.3">
      <c r="A553" s="221"/>
      <c r="B553" s="221"/>
      <c r="C553" s="221"/>
      <c r="D553" s="221"/>
      <c r="E553" s="221"/>
      <c r="F553" s="221"/>
      <c r="G553" s="221"/>
      <c r="H553" s="221"/>
      <c r="I553" s="221"/>
      <c r="J553" s="221"/>
      <c r="K553" s="221"/>
      <c r="L553" s="221"/>
      <c r="M553" s="221"/>
      <c r="N553" s="221"/>
      <c r="O553" s="221"/>
      <c r="P553" s="221"/>
      <c r="Q553" s="221"/>
      <c r="R553" s="221"/>
      <c r="S553" s="221"/>
      <c r="T553" s="221"/>
      <c r="U553" s="221"/>
      <c r="V553" s="221"/>
      <c r="W553" s="221"/>
      <c r="X553" s="221"/>
    </row>
    <row r="554" spans="1:24" ht="14" x14ac:dyDescent="0.3">
      <c r="A554" s="221"/>
      <c r="B554" s="221"/>
      <c r="C554" s="221"/>
      <c r="D554" s="221"/>
      <c r="E554" s="221"/>
      <c r="F554" s="221"/>
      <c r="G554" s="221"/>
      <c r="H554" s="221"/>
      <c r="I554" s="221"/>
      <c r="J554" s="221"/>
      <c r="K554" s="221"/>
      <c r="L554" s="221"/>
      <c r="M554" s="221"/>
      <c r="N554" s="221"/>
      <c r="O554" s="221"/>
      <c r="P554" s="221"/>
      <c r="Q554" s="221"/>
      <c r="R554" s="221"/>
      <c r="S554" s="221"/>
      <c r="T554" s="221"/>
      <c r="U554" s="221"/>
      <c r="V554" s="221"/>
      <c r="W554" s="221"/>
      <c r="X554" s="221"/>
    </row>
    <row r="555" spans="1:24" ht="14" x14ac:dyDescent="0.3">
      <c r="A555" s="221"/>
      <c r="B555" s="221"/>
      <c r="C555" s="221"/>
      <c r="D555" s="221"/>
      <c r="E555" s="221"/>
      <c r="F555" s="221"/>
      <c r="G555" s="221"/>
      <c r="H555" s="221"/>
      <c r="I555" s="221"/>
      <c r="J555" s="221"/>
      <c r="K555" s="221"/>
      <c r="L555" s="221"/>
      <c r="M555" s="221"/>
      <c r="N555" s="221"/>
      <c r="O555" s="221"/>
      <c r="P555" s="221"/>
      <c r="Q555" s="221"/>
      <c r="R555" s="221"/>
      <c r="S555" s="221"/>
      <c r="T555" s="221"/>
      <c r="U555" s="221"/>
      <c r="V555" s="221"/>
      <c r="W555" s="221"/>
      <c r="X555" s="221"/>
    </row>
    <row r="556" spans="1:24" ht="14" x14ac:dyDescent="0.3">
      <c r="A556" s="221"/>
      <c r="B556" s="221"/>
      <c r="C556" s="221"/>
      <c r="D556" s="221"/>
      <c r="E556" s="221"/>
      <c r="F556" s="221"/>
      <c r="G556" s="221"/>
      <c r="H556" s="221"/>
      <c r="I556" s="221"/>
      <c r="J556" s="221"/>
      <c r="K556" s="221"/>
      <c r="L556" s="221"/>
      <c r="M556" s="221"/>
      <c r="N556" s="221"/>
      <c r="O556" s="221"/>
      <c r="P556" s="221"/>
      <c r="Q556" s="221"/>
      <c r="R556" s="221"/>
      <c r="S556" s="221"/>
      <c r="T556" s="221"/>
      <c r="U556" s="221"/>
      <c r="V556" s="221"/>
      <c r="W556" s="221"/>
      <c r="X556" s="221"/>
    </row>
    <row r="557" spans="1:24" ht="14" x14ac:dyDescent="0.3">
      <c r="A557" s="221"/>
      <c r="B557" s="221"/>
      <c r="C557" s="221"/>
      <c r="D557" s="221"/>
      <c r="E557" s="221"/>
      <c r="F557" s="221"/>
      <c r="G557" s="221"/>
      <c r="H557" s="221"/>
      <c r="I557" s="221"/>
      <c r="J557" s="221"/>
      <c r="K557" s="221"/>
      <c r="L557" s="221"/>
      <c r="M557" s="221"/>
      <c r="N557" s="221"/>
      <c r="O557" s="221"/>
      <c r="P557" s="221"/>
      <c r="Q557" s="221"/>
      <c r="R557" s="221"/>
      <c r="S557" s="221"/>
      <c r="T557" s="221"/>
      <c r="U557" s="221"/>
      <c r="V557" s="221"/>
      <c r="W557" s="221"/>
      <c r="X557" s="221"/>
    </row>
    <row r="558" spans="1:24" ht="14" x14ac:dyDescent="0.3">
      <c r="A558" s="221"/>
      <c r="B558" s="221"/>
      <c r="C558" s="221"/>
      <c r="D558" s="221"/>
      <c r="E558" s="221"/>
      <c r="F558" s="221"/>
      <c r="G558" s="221"/>
      <c r="H558" s="221"/>
      <c r="I558" s="221"/>
      <c r="J558" s="221"/>
      <c r="K558" s="221"/>
      <c r="L558" s="221"/>
      <c r="M558" s="221"/>
      <c r="N558" s="221"/>
      <c r="O558" s="221"/>
      <c r="P558" s="221"/>
      <c r="Q558" s="221"/>
      <c r="R558" s="221"/>
      <c r="S558" s="221"/>
      <c r="T558" s="221"/>
      <c r="U558" s="221"/>
      <c r="V558" s="221"/>
      <c r="W558" s="221"/>
      <c r="X558" s="221"/>
    </row>
    <row r="559" spans="1:24" ht="14" x14ac:dyDescent="0.3">
      <c r="A559" s="221"/>
      <c r="B559" s="221"/>
      <c r="C559" s="221"/>
      <c r="D559" s="221"/>
      <c r="E559" s="221"/>
      <c r="F559" s="221"/>
      <c r="G559" s="221"/>
      <c r="H559" s="221"/>
      <c r="I559" s="221"/>
      <c r="J559" s="221"/>
      <c r="K559" s="221"/>
      <c r="L559" s="221"/>
      <c r="M559" s="221"/>
      <c r="N559" s="221"/>
      <c r="O559" s="221"/>
      <c r="P559" s="221"/>
      <c r="Q559" s="221"/>
      <c r="R559" s="221"/>
      <c r="S559" s="221"/>
      <c r="T559" s="221"/>
      <c r="U559" s="221"/>
      <c r="V559" s="221"/>
      <c r="W559" s="221"/>
      <c r="X559" s="221"/>
    </row>
    <row r="560" spans="1:24" ht="14" x14ac:dyDescent="0.3">
      <c r="A560" s="221"/>
      <c r="B560" s="221"/>
      <c r="C560" s="221"/>
      <c r="D560" s="221"/>
      <c r="E560" s="221"/>
      <c r="F560" s="221"/>
      <c r="G560" s="221"/>
      <c r="H560" s="221"/>
      <c r="I560" s="221"/>
      <c r="J560" s="221"/>
      <c r="K560" s="221"/>
      <c r="L560" s="221"/>
      <c r="M560" s="221"/>
      <c r="N560" s="221"/>
      <c r="O560" s="221"/>
      <c r="P560" s="221"/>
      <c r="Q560" s="221"/>
      <c r="R560" s="221"/>
      <c r="S560" s="221"/>
      <c r="T560" s="221"/>
      <c r="U560" s="221"/>
      <c r="V560" s="221"/>
      <c r="W560" s="221"/>
      <c r="X560" s="221"/>
    </row>
    <row r="561" spans="1:24" ht="14" x14ac:dyDescent="0.3">
      <c r="A561" s="221"/>
      <c r="B561" s="221"/>
      <c r="C561" s="221"/>
      <c r="D561" s="221"/>
      <c r="E561" s="221"/>
      <c r="F561" s="221"/>
      <c r="G561" s="221"/>
      <c r="H561" s="221"/>
      <c r="I561" s="221"/>
      <c r="J561" s="221"/>
      <c r="K561" s="221"/>
      <c r="L561" s="221"/>
      <c r="M561" s="221"/>
      <c r="N561" s="221"/>
      <c r="O561" s="221"/>
      <c r="P561" s="221"/>
      <c r="Q561" s="221"/>
      <c r="R561" s="221"/>
      <c r="S561" s="221"/>
      <c r="T561" s="221"/>
      <c r="U561" s="221"/>
      <c r="V561" s="221"/>
      <c r="W561" s="221"/>
      <c r="X561" s="221"/>
    </row>
    <row r="562" spans="1:24" ht="14" x14ac:dyDescent="0.3">
      <c r="A562" s="221"/>
      <c r="B562" s="221"/>
      <c r="C562" s="221"/>
      <c r="D562" s="221"/>
      <c r="E562" s="221"/>
      <c r="F562" s="221"/>
      <c r="G562" s="221"/>
      <c r="H562" s="221"/>
      <c r="I562" s="221"/>
      <c r="J562" s="221"/>
      <c r="K562" s="221"/>
      <c r="L562" s="221"/>
      <c r="M562" s="221"/>
      <c r="N562" s="221"/>
      <c r="O562" s="221"/>
      <c r="P562" s="221"/>
      <c r="Q562" s="221"/>
      <c r="R562" s="221"/>
      <c r="S562" s="221"/>
      <c r="T562" s="221"/>
      <c r="U562" s="221"/>
      <c r="V562" s="221"/>
      <c r="W562" s="221"/>
      <c r="X562" s="221"/>
    </row>
    <row r="563" spans="1:24" ht="14" x14ac:dyDescent="0.3">
      <c r="A563" s="221"/>
      <c r="B563" s="221"/>
      <c r="C563" s="221"/>
      <c r="D563" s="221"/>
      <c r="E563" s="221"/>
      <c r="F563" s="221"/>
      <c r="G563" s="221"/>
      <c r="H563" s="221"/>
      <c r="I563" s="221"/>
      <c r="J563" s="221"/>
      <c r="K563" s="221"/>
      <c r="L563" s="221"/>
      <c r="M563" s="221"/>
      <c r="N563" s="221"/>
      <c r="O563" s="221"/>
      <c r="P563" s="221"/>
      <c r="Q563" s="221"/>
      <c r="R563" s="221"/>
      <c r="S563" s="221"/>
      <c r="T563" s="221"/>
      <c r="U563" s="221"/>
      <c r="V563" s="221"/>
      <c r="W563" s="221"/>
      <c r="X563" s="221"/>
    </row>
    <row r="564" spans="1:24" ht="14" x14ac:dyDescent="0.3">
      <c r="A564" s="221"/>
      <c r="B564" s="221"/>
      <c r="C564" s="221"/>
      <c r="D564" s="221"/>
      <c r="E564" s="221"/>
      <c r="F564" s="221"/>
      <c r="G564" s="221"/>
      <c r="H564" s="221"/>
      <c r="I564" s="221"/>
      <c r="J564" s="221"/>
      <c r="K564" s="221"/>
      <c r="L564" s="221"/>
      <c r="M564" s="221"/>
      <c r="N564" s="221"/>
      <c r="O564" s="221"/>
      <c r="P564" s="221"/>
      <c r="Q564" s="221"/>
      <c r="R564" s="221"/>
      <c r="S564" s="221"/>
      <c r="T564" s="221"/>
      <c r="U564" s="221"/>
      <c r="V564" s="221"/>
      <c r="W564" s="221"/>
      <c r="X564" s="221"/>
    </row>
    <row r="565" spans="1:24" ht="14" x14ac:dyDescent="0.3">
      <c r="A565" s="221"/>
      <c r="B565" s="221"/>
      <c r="C565" s="221"/>
      <c r="D565" s="221"/>
      <c r="E565" s="221"/>
      <c r="F565" s="221"/>
      <c r="G565" s="221"/>
      <c r="H565" s="221"/>
      <c r="I565" s="221"/>
      <c r="J565" s="221"/>
      <c r="K565" s="221"/>
      <c r="L565" s="221"/>
      <c r="M565" s="221"/>
      <c r="N565" s="221"/>
      <c r="O565" s="221"/>
      <c r="P565" s="221"/>
      <c r="Q565" s="221"/>
      <c r="R565" s="221"/>
      <c r="S565" s="221"/>
      <c r="T565" s="221"/>
      <c r="U565" s="221"/>
      <c r="V565" s="221"/>
      <c r="W565" s="221"/>
      <c r="X565" s="221"/>
    </row>
    <row r="566" spans="1:24" ht="14" x14ac:dyDescent="0.3">
      <c r="A566" s="221"/>
      <c r="B566" s="221"/>
      <c r="C566" s="221"/>
      <c r="D566" s="221"/>
      <c r="E566" s="221"/>
      <c r="F566" s="221"/>
      <c r="G566" s="221"/>
      <c r="H566" s="221"/>
      <c r="I566" s="221"/>
      <c r="J566" s="221"/>
      <c r="K566" s="221"/>
      <c r="L566" s="221"/>
      <c r="M566" s="221"/>
      <c r="N566" s="221"/>
      <c r="O566" s="221"/>
      <c r="P566" s="221"/>
      <c r="Q566" s="221"/>
      <c r="R566" s="221"/>
      <c r="S566" s="221"/>
      <c r="T566" s="221"/>
      <c r="U566" s="221"/>
      <c r="V566" s="221"/>
      <c r="W566" s="221"/>
      <c r="X566" s="221"/>
    </row>
    <row r="567" spans="1:24" ht="14" x14ac:dyDescent="0.3">
      <c r="A567" s="221"/>
      <c r="B567" s="221"/>
      <c r="C567" s="221"/>
      <c r="D567" s="221"/>
      <c r="E567" s="221"/>
      <c r="F567" s="221"/>
      <c r="G567" s="221"/>
      <c r="H567" s="221"/>
      <c r="I567" s="221"/>
      <c r="J567" s="221"/>
      <c r="K567" s="221"/>
      <c r="L567" s="221"/>
      <c r="M567" s="221"/>
      <c r="N567" s="221"/>
      <c r="O567" s="221"/>
      <c r="P567" s="221"/>
      <c r="Q567" s="221"/>
      <c r="R567" s="221"/>
      <c r="S567" s="221"/>
      <c r="T567" s="221"/>
      <c r="U567" s="221"/>
      <c r="V567" s="221"/>
      <c r="W567" s="221"/>
      <c r="X567" s="221"/>
    </row>
    <row r="568" spans="1:24" ht="14" x14ac:dyDescent="0.3">
      <c r="A568" s="221"/>
      <c r="B568" s="221"/>
      <c r="C568" s="221"/>
      <c r="D568" s="221"/>
      <c r="E568" s="221"/>
      <c r="F568" s="221"/>
      <c r="G568" s="221"/>
      <c r="H568" s="221"/>
      <c r="I568" s="221"/>
      <c r="J568" s="221"/>
      <c r="K568" s="221"/>
      <c r="L568" s="221"/>
      <c r="M568" s="221"/>
      <c r="N568" s="221"/>
      <c r="O568" s="221"/>
      <c r="P568" s="221"/>
      <c r="Q568" s="221"/>
      <c r="R568" s="221"/>
      <c r="S568" s="221"/>
      <c r="T568" s="221"/>
      <c r="U568" s="221"/>
      <c r="V568" s="221"/>
      <c r="W568" s="221"/>
      <c r="X568" s="221"/>
    </row>
    <row r="569" spans="1:24" ht="14" x14ac:dyDescent="0.3">
      <c r="A569" s="221"/>
      <c r="B569" s="221"/>
      <c r="C569" s="221"/>
      <c r="D569" s="221"/>
      <c r="E569" s="221"/>
      <c r="F569" s="221"/>
      <c r="G569" s="221"/>
      <c r="H569" s="221"/>
      <c r="I569" s="221"/>
      <c r="J569" s="221"/>
      <c r="K569" s="221"/>
      <c r="L569" s="221"/>
      <c r="M569" s="221"/>
      <c r="N569" s="221"/>
      <c r="O569" s="221"/>
      <c r="P569" s="221"/>
      <c r="Q569" s="221"/>
      <c r="R569" s="221"/>
      <c r="S569" s="221"/>
      <c r="T569" s="221"/>
      <c r="U569" s="221"/>
      <c r="V569" s="221"/>
      <c r="W569" s="221"/>
      <c r="X569" s="221"/>
    </row>
    <row r="570" spans="1:24" ht="14" x14ac:dyDescent="0.3">
      <c r="A570" s="221"/>
      <c r="B570" s="221"/>
      <c r="C570" s="221"/>
      <c r="D570" s="221"/>
      <c r="E570" s="221"/>
      <c r="F570" s="221"/>
      <c r="G570" s="221"/>
      <c r="H570" s="221"/>
      <c r="I570" s="221"/>
      <c r="J570" s="221"/>
      <c r="K570" s="221"/>
      <c r="L570" s="221"/>
      <c r="M570" s="221"/>
      <c r="N570" s="221"/>
      <c r="O570" s="221"/>
      <c r="P570" s="221"/>
      <c r="Q570" s="221"/>
      <c r="R570" s="221"/>
      <c r="S570" s="221"/>
      <c r="T570" s="221"/>
      <c r="U570" s="221"/>
      <c r="V570" s="221"/>
      <c r="W570" s="221"/>
      <c r="X570" s="221"/>
    </row>
    <row r="571" spans="1:24" ht="14" x14ac:dyDescent="0.3">
      <c r="A571" s="221"/>
      <c r="B571" s="221"/>
      <c r="C571" s="221"/>
      <c r="D571" s="221"/>
      <c r="E571" s="221"/>
      <c r="F571" s="221"/>
      <c r="G571" s="221"/>
      <c r="H571" s="221"/>
      <c r="I571" s="221"/>
      <c r="J571" s="221"/>
      <c r="K571" s="221"/>
      <c r="L571" s="221"/>
      <c r="M571" s="221"/>
      <c r="N571" s="221"/>
      <c r="O571" s="221"/>
      <c r="P571" s="221"/>
      <c r="Q571" s="221"/>
      <c r="R571" s="221"/>
      <c r="S571" s="221"/>
      <c r="T571" s="221"/>
      <c r="U571" s="221"/>
      <c r="V571" s="221"/>
      <c r="W571" s="221"/>
      <c r="X571" s="221"/>
    </row>
    <row r="572" spans="1:24" ht="14" x14ac:dyDescent="0.3">
      <c r="A572" s="221"/>
      <c r="B572" s="221"/>
      <c r="C572" s="221"/>
      <c r="D572" s="221"/>
      <c r="E572" s="221"/>
      <c r="F572" s="221"/>
      <c r="G572" s="221"/>
      <c r="H572" s="221"/>
      <c r="I572" s="221"/>
      <c r="J572" s="221"/>
      <c r="K572" s="221"/>
      <c r="L572" s="221"/>
      <c r="M572" s="221"/>
      <c r="N572" s="221"/>
      <c r="O572" s="221"/>
      <c r="P572" s="221"/>
      <c r="Q572" s="221"/>
      <c r="R572" s="221"/>
      <c r="S572" s="221"/>
      <c r="T572" s="221"/>
      <c r="U572" s="221"/>
      <c r="V572" s="221"/>
      <c r="W572" s="221"/>
      <c r="X572" s="221"/>
    </row>
    <row r="573" spans="1:24" ht="14" x14ac:dyDescent="0.3">
      <c r="A573" s="221"/>
      <c r="B573" s="221"/>
      <c r="C573" s="221"/>
      <c r="D573" s="221"/>
      <c r="E573" s="221"/>
      <c r="F573" s="221"/>
      <c r="G573" s="221"/>
      <c r="H573" s="221"/>
      <c r="I573" s="221"/>
      <c r="J573" s="221"/>
      <c r="K573" s="221"/>
      <c r="L573" s="221"/>
      <c r="M573" s="221"/>
      <c r="N573" s="221"/>
      <c r="O573" s="221"/>
      <c r="P573" s="221"/>
      <c r="Q573" s="221"/>
      <c r="R573" s="221"/>
      <c r="S573" s="221"/>
      <c r="T573" s="221"/>
      <c r="U573" s="221"/>
      <c r="V573" s="221"/>
      <c r="W573" s="221"/>
      <c r="X573" s="221"/>
    </row>
    <row r="574" spans="1:24" ht="14" x14ac:dyDescent="0.3">
      <c r="A574" s="221"/>
      <c r="B574" s="221"/>
      <c r="C574" s="221"/>
      <c r="D574" s="221"/>
      <c r="E574" s="221"/>
      <c r="F574" s="221"/>
      <c r="G574" s="221"/>
      <c r="H574" s="221"/>
      <c r="I574" s="221"/>
      <c r="J574" s="221"/>
      <c r="K574" s="221"/>
      <c r="L574" s="221"/>
      <c r="M574" s="221"/>
      <c r="N574" s="221"/>
      <c r="O574" s="221"/>
      <c r="P574" s="221"/>
      <c r="Q574" s="221"/>
      <c r="R574" s="221"/>
      <c r="S574" s="221"/>
      <c r="T574" s="221"/>
      <c r="U574" s="221"/>
      <c r="V574" s="221"/>
      <c r="W574" s="221"/>
      <c r="X574" s="221"/>
    </row>
    <row r="575" spans="1:24" ht="14" x14ac:dyDescent="0.3">
      <c r="A575" s="221"/>
      <c r="B575" s="221"/>
      <c r="C575" s="221"/>
      <c r="D575" s="221"/>
      <c r="E575" s="221"/>
      <c r="F575" s="221"/>
      <c r="G575" s="221"/>
      <c r="H575" s="221"/>
      <c r="I575" s="221"/>
      <c r="J575" s="221"/>
      <c r="K575" s="221"/>
      <c r="L575" s="221"/>
      <c r="M575" s="221"/>
      <c r="N575" s="221"/>
      <c r="O575" s="221"/>
      <c r="P575" s="221"/>
      <c r="Q575" s="221"/>
      <c r="R575" s="221"/>
      <c r="S575" s="221"/>
      <c r="T575" s="221"/>
      <c r="U575" s="221"/>
      <c r="V575" s="221"/>
      <c r="W575" s="221"/>
      <c r="X575" s="221"/>
    </row>
    <row r="576" spans="1:24" ht="14" x14ac:dyDescent="0.3">
      <c r="A576" s="221"/>
      <c r="B576" s="221"/>
      <c r="C576" s="221"/>
      <c r="D576" s="221"/>
      <c r="E576" s="221"/>
      <c r="F576" s="221"/>
      <c r="G576" s="221"/>
      <c r="H576" s="221"/>
      <c r="I576" s="221"/>
      <c r="J576" s="221"/>
      <c r="K576" s="221"/>
      <c r="L576" s="221"/>
      <c r="M576" s="221"/>
      <c r="N576" s="221"/>
      <c r="O576" s="221"/>
      <c r="P576" s="221"/>
      <c r="Q576" s="221"/>
      <c r="R576" s="221"/>
      <c r="S576" s="221"/>
      <c r="T576" s="221"/>
      <c r="U576" s="221"/>
      <c r="V576" s="221"/>
      <c r="W576" s="221"/>
      <c r="X576" s="221"/>
    </row>
    <row r="577" spans="1:24" ht="14" x14ac:dyDescent="0.3">
      <c r="A577" s="221"/>
      <c r="B577" s="221"/>
      <c r="C577" s="221"/>
      <c r="D577" s="221"/>
      <c r="E577" s="221"/>
      <c r="F577" s="221"/>
      <c r="G577" s="221"/>
      <c r="H577" s="221"/>
      <c r="I577" s="221"/>
      <c r="J577" s="221"/>
      <c r="K577" s="221"/>
      <c r="L577" s="221"/>
      <c r="M577" s="221"/>
      <c r="N577" s="221"/>
      <c r="O577" s="221"/>
      <c r="P577" s="221"/>
      <c r="Q577" s="221"/>
      <c r="R577" s="221"/>
      <c r="S577" s="221"/>
      <c r="T577" s="221"/>
      <c r="U577" s="221"/>
      <c r="V577" s="221"/>
      <c r="W577" s="221"/>
      <c r="X577" s="221"/>
    </row>
    <row r="578" spans="1:24" ht="14" x14ac:dyDescent="0.3">
      <c r="A578" s="221"/>
      <c r="B578" s="221"/>
      <c r="C578" s="221"/>
      <c r="D578" s="221"/>
      <c r="E578" s="221"/>
      <c r="F578" s="221"/>
      <c r="G578" s="221"/>
      <c r="H578" s="221"/>
      <c r="I578" s="221"/>
      <c r="J578" s="221"/>
      <c r="K578" s="221"/>
      <c r="L578" s="221"/>
      <c r="M578" s="221"/>
      <c r="N578" s="221"/>
      <c r="O578" s="221"/>
      <c r="P578" s="221"/>
      <c r="Q578" s="221"/>
      <c r="R578" s="221"/>
      <c r="S578" s="221"/>
      <c r="T578" s="221"/>
      <c r="U578" s="221"/>
      <c r="V578" s="221"/>
      <c r="W578" s="221"/>
      <c r="X578" s="221"/>
    </row>
    <row r="579" spans="1:24" ht="14" x14ac:dyDescent="0.3">
      <c r="A579" s="221"/>
      <c r="B579" s="221"/>
      <c r="C579" s="221"/>
      <c r="D579" s="221"/>
      <c r="E579" s="221"/>
      <c r="F579" s="221"/>
      <c r="G579" s="221"/>
      <c r="H579" s="221"/>
      <c r="I579" s="221"/>
      <c r="J579" s="221"/>
      <c r="K579" s="221"/>
      <c r="L579" s="221"/>
      <c r="M579" s="221"/>
      <c r="N579" s="221"/>
      <c r="O579" s="221"/>
      <c r="P579" s="221"/>
      <c r="Q579" s="221"/>
      <c r="R579" s="221"/>
      <c r="S579" s="221"/>
      <c r="T579" s="221"/>
      <c r="U579" s="221"/>
      <c r="V579" s="221"/>
      <c r="W579" s="221"/>
      <c r="X579" s="221"/>
    </row>
    <row r="580" spans="1:24" ht="14" x14ac:dyDescent="0.3">
      <c r="A580" s="221"/>
      <c r="B580" s="221"/>
      <c r="C580" s="221"/>
      <c r="D580" s="221"/>
      <c r="E580" s="221"/>
      <c r="F580" s="221"/>
      <c r="G580" s="221"/>
      <c r="H580" s="221"/>
      <c r="I580" s="221"/>
      <c r="J580" s="221"/>
      <c r="K580" s="221"/>
      <c r="L580" s="221"/>
      <c r="M580" s="221"/>
      <c r="N580" s="221"/>
      <c r="O580" s="221"/>
      <c r="P580" s="221"/>
      <c r="Q580" s="221"/>
      <c r="R580" s="221"/>
      <c r="S580" s="221"/>
      <c r="T580" s="221"/>
      <c r="U580" s="221"/>
      <c r="V580" s="221"/>
      <c r="W580" s="221"/>
      <c r="X580" s="221"/>
    </row>
    <row r="581" spans="1:24" ht="14" x14ac:dyDescent="0.3">
      <c r="A581" s="221"/>
      <c r="B581" s="221"/>
      <c r="C581" s="221"/>
      <c r="D581" s="221"/>
      <c r="E581" s="221"/>
      <c r="F581" s="221"/>
      <c r="G581" s="221"/>
      <c r="H581" s="221"/>
      <c r="I581" s="221"/>
      <c r="J581" s="221"/>
      <c r="K581" s="221"/>
      <c r="L581" s="221"/>
      <c r="M581" s="221"/>
      <c r="N581" s="221"/>
      <c r="O581" s="221"/>
      <c r="P581" s="221"/>
      <c r="Q581" s="221"/>
      <c r="R581" s="221"/>
      <c r="S581" s="221"/>
      <c r="T581" s="221"/>
      <c r="U581" s="221"/>
      <c r="V581" s="221"/>
      <c r="W581" s="221"/>
      <c r="X581" s="221"/>
    </row>
    <row r="582" spans="1:24" ht="14" x14ac:dyDescent="0.3">
      <c r="A582" s="221"/>
      <c r="B582" s="221"/>
      <c r="C582" s="221"/>
      <c r="D582" s="221"/>
      <c r="E582" s="221"/>
      <c r="F582" s="221"/>
      <c r="G582" s="221"/>
      <c r="H582" s="221"/>
      <c r="I582" s="221"/>
      <c r="J582" s="221"/>
      <c r="K582" s="221"/>
      <c r="L582" s="221"/>
      <c r="M582" s="221"/>
      <c r="N582" s="221"/>
      <c r="O582" s="221"/>
      <c r="P582" s="221"/>
      <c r="Q582" s="221"/>
      <c r="R582" s="221"/>
      <c r="S582" s="221"/>
      <c r="T582" s="221"/>
      <c r="U582" s="221"/>
      <c r="V582" s="221"/>
      <c r="W582" s="221"/>
      <c r="X582" s="221"/>
    </row>
    <row r="583" spans="1:24" ht="14" x14ac:dyDescent="0.3">
      <c r="A583" s="221"/>
      <c r="B583" s="221"/>
      <c r="C583" s="221"/>
      <c r="D583" s="221"/>
      <c r="E583" s="221"/>
      <c r="F583" s="221"/>
      <c r="G583" s="221"/>
      <c r="H583" s="221"/>
      <c r="I583" s="221"/>
      <c r="J583" s="221"/>
      <c r="K583" s="221"/>
      <c r="L583" s="221"/>
      <c r="M583" s="221"/>
      <c r="N583" s="221"/>
      <c r="O583" s="221"/>
      <c r="P583" s="221"/>
      <c r="Q583" s="221"/>
      <c r="R583" s="221"/>
      <c r="S583" s="221"/>
      <c r="T583" s="221"/>
      <c r="U583" s="221"/>
      <c r="V583" s="221"/>
      <c r="W583" s="221"/>
      <c r="X583" s="221"/>
    </row>
    <row r="584" spans="1:24" ht="14" x14ac:dyDescent="0.3">
      <c r="A584" s="221"/>
      <c r="B584" s="221"/>
      <c r="C584" s="221"/>
      <c r="D584" s="221"/>
      <c r="E584" s="221"/>
      <c r="F584" s="221"/>
      <c r="G584" s="221"/>
      <c r="H584" s="221"/>
      <c r="I584" s="221"/>
      <c r="J584" s="221"/>
      <c r="K584" s="221"/>
      <c r="L584" s="221"/>
      <c r="M584" s="221"/>
      <c r="N584" s="221"/>
      <c r="O584" s="221"/>
      <c r="P584" s="221"/>
      <c r="Q584" s="221"/>
      <c r="R584" s="221"/>
      <c r="S584" s="221"/>
      <c r="T584" s="221"/>
      <c r="U584" s="221"/>
      <c r="V584" s="221"/>
      <c r="W584" s="221"/>
      <c r="X584" s="221"/>
    </row>
    <row r="585" spans="1:24" ht="14" x14ac:dyDescent="0.3">
      <c r="A585" s="221"/>
      <c r="B585" s="221"/>
      <c r="C585" s="221"/>
      <c r="D585" s="221"/>
      <c r="E585" s="221"/>
      <c r="F585" s="221"/>
      <c r="G585" s="221"/>
      <c r="H585" s="221"/>
      <c r="I585" s="221"/>
      <c r="J585" s="221"/>
      <c r="K585" s="221"/>
      <c r="L585" s="221"/>
      <c r="M585" s="221"/>
      <c r="N585" s="221"/>
      <c r="O585" s="221"/>
      <c r="P585" s="221"/>
      <c r="Q585" s="221"/>
      <c r="R585" s="221"/>
      <c r="S585" s="221"/>
      <c r="T585" s="221"/>
      <c r="U585" s="221"/>
      <c r="V585" s="221"/>
      <c r="W585" s="221"/>
      <c r="X585" s="221"/>
    </row>
    <row r="586" spans="1:24" ht="14" x14ac:dyDescent="0.3">
      <c r="A586" s="221"/>
      <c r="B586" s="221"/>
      <c r="C586" s="221"/>
      <c r="D586" s="221"/>
      <c r="E586" s="221"/>
      <c r="F586" s="221"/>
      <c r="G586" s="221"/>
      <c r="H586" s="221"/>
      <c r="I586" s="221"/>
      <c r="J586" s="221"/>
      <c r="K586" s="221"/>
      <c r="L586" s="221"/>
      <c r="M586" s="221"/>
      <c r="N586" s="221"/>
      <c r="O586" s="221"/>
      <c r="P586" s="221"/>
      <c r="Q586" s="221"/>
      <c r="R586" s="221"/>
      <c r="S586" s="221"/>
      <c r="T586" s="221"/>
      <c r="U586" s="221"/>
      <c r="V586" s="221"/>
      <c r="W586" s="221"/>
      <c r="X586" s="221"/>
    </row>
    <row r="587" spans="1:24" ht="14" x14ac:dyDescent="0.3">
      <c r="A587" s="221"/>
      <c r="B587" s="221"/>
      <c r="C587" s="221"/>
      <c r="D587" s="221"/>
      <c r="E587" s="221"/>
      <c r="F587" s="221"/>
      <c r="G587" s="221"/>
      <c r="H587" s="221"/>
      <c r="I587" s="221"/>
      <c r="J587" s="221"/>
      <c r="K587" s="221"/>
      <c r="L587" s="221"/>
      <c r="M587" s="221"/>
      <c r="N587" s="221"/>
      <c r="O587" s="221"/>
      <c r="P587" s="221"/>
      <c r="Q587" s="221"/>
      <c r="R587" s="221"/>
      <c r="S587" s="221"/>
      <c r="T587" s="221"/>
      <c r="U587" s="221"/>
      <c r="V587" s="221"/>
      <c r="W587" s="221"/>
      <c r="X587" s="221"/>
    </row>
    <row r="588" spans="1:24" ht="14" x14ac:dyDescent="0.3">
      <c r="A588" s="221"/>
      <c r="B588" s="221"/>
      <c r="C588" s="221"/>
      <c r="D588" s="221"/>
      <c r="E588" s="221"/>
      <c r="F588" s="221"/>
      <c r="G588" s="221"/>
      <c r="H588" s="221"/>
      <c r="I588" s="221"/>
      <c r="J588" s="221"/>
      <c r="K588" s="221"/>
      <c r="L588" s="221"/>
      <c r="M588" s="221"/>
      <c r="N588" s="221"/>
      <c r="O588" s="221"/>
      <c r="P588" s="221"/>
      <c r="Q588" s="221"/>
      <c r="R588" s="221"/>
      <c r="S588" s="221"/>
      <c r="T588" s="221"/>
      <c r="U588" s="221"/>
      <c r="V588" s="221"/>
      <c r="W588" s="221"/>
      <c r="X588" s="221"/>
    </row>
    <row r="589" spans="1:24" ht="14" x14ac:dyDescent="0.3">
      <c r="A589" s="221"/>
      <c r="B589" s="221"/>
      <c r="C589" s="221"/>
      <c r="D589" s="221"/>
      <c r="E589" s="221"/>
      <c r="F589" s="221"/>
      <c r="G589" s="221"/>
      <c r="H589" s="221"/>
      <c r="I589" s="221"/>
      <c r="J589" s="221"/>
      <c r="K589" s="221"/>
      <c r="L589" s="221"/>
      <c r="M589" s="221"/>
      <c r="N589" s="221"/>
      <c r="O589" s="221"/>
      <c r="P589" s="221"/>
      <c r="Q589" s="221"/>
      <c r="R589" s="221"/>
      <c r="S589" s="221"/>
      <c r="T589" s="221"/>
      <c r="U589" s="221"/>
      <c r="V589" s="221"/>
      <c r="W589" s="221"/>
      <c r="X589" s="221"/>
    </row>
    <row r="590" spans="1:24" ht="14" x14ac:dyDescent="0.3">
      <c r="A590" s="221"/>
      <c r="B590" s="221"/>
      <c r="C590" s="221"/>
      <c r="D590" s="221"/>
      <c r="E590" s="221"/>
      <c r="F590" s="221"/>
      <c r="G590" s="221"/>
      <c r="H590" s="221"/>
      <c r="I590" s="221"/>
      <c r="J590" s="221"/>
      <c r="K590" s="221"/>
      <c r="L590" s="221"/>
      <c r="M590" s="221"/>
      <c r="N590" s="221"/>
      <c r="O590" s="221"/>
      <c r="P590" s="221"/>
      <c r="Q590" s="221"/>
      <c r="R590" s="221"/>
      <c r="S590" s="221"/>
      <c r="T590" s="221"/>
      <c r="U590" s="221"/>
      <c r="V590" s="221"/>
      <c r="W590" s="221"/>
      <c r="X590" s="221"/>
    </row>
    <row r="591" spans="1:24" ht="14" x14ac:dyDescent="0.3">
      <c r="A591" s="221"/>
      <c r="B591" s="221"/>
      <c r="C591" s="221"/>
      <c r="D591" s="221"/>
      <c r="E591" s="221"/>
      <c r="F591" s="221"/>
      <c r="G591" s="221"/>
      <c r="H591" s="221"/>
      <c r="I591" s="221"/>
      <c r="J591" s="221"/>
      <c r="K591" s="221"/>
      <c r="L591" s="221"/>
      <c r="M591" s="221"/>
      <c r="N591" s="221"/>
      <c r="O591" s="221"/>
      <c r="P591" s="221"/>
      <c r="Q591" s="221"/>
      <c r="R591" s="221"/>
      <c r="S591" s="221"/>
      <c r="T591" s="221"/>
      <c r="U591" s="221"/>
      <c r="V591" s="221"/>
      <c r="W591" s="221"/>
      <c r="X591" s="221"/>
    </row>
    <row r="592" spans="1:24" ht="14" x14ac:dyDescent="0.3">
      <c r="A592" s="221"/>
      <c r="B592" s="221"/>
      <c r="C592" s="221"/>
      <c r="D592" s="221"/>
      <c r="E592" s="221"/>
      <c r="F592" s="221"/>
      <c r="G592" s="221"/>
      <c r="H592" s="221"/>
      <c r="I592" s="221"/>
      <c r="J592" s="221"/>
      <c r="K592" s="221"/>
      <c r="L592" s="221"/>
      <c r="M592" s="221"/>
      <c r="N592" s="221"/>
      <c r="O592" s="221"/>
      <c r="P592" s="221"/>
      <c r="Q592" s="221"/>
      <c r="R592" s="221"/>
      <c r="S592" s="221"/>
      <c r="T592" s="221"/>
      <c r="U592" s="221"/>
      <c r="V592" s="221"/>
      <c r="W592" s="221"/>
      <c r="X592" s="221"/>
    </row>
    <row r="593" spans="1:24" ht="14" x14ac:dyDescent="0.3">
      <c r="A593" s="221"/>
      <c r="B593" s="221"/>
      <c r="C593" s="221"/>
      <c r="D593" s="221"/>
      <c r="E593" s="221"/>
      <c r="F593" s="221"/>
      <c r="G593" s="221"/>
      <c r="H593" s="221"/>
      <c r="I593" s="221"/>
      <c r="J593" s="221"/>
      <c r="K593" s="221"/>
      <c r="L593" s="221"/>
      <c r="M593" s="221"/>
      <c r="N593" s="221"/>
      <c r="O593" s="221"/>
      <c r="P593" s="221"/>
      <c r="Q593" s="221"/>
      <c r="R593" s="221"/>
      <c r="S593" s="221"/>
      <c r="T593" s="221"/>
      <c r="U593" s="221"/>
      <c r="V593" s="221"/>
      <c r="W593" s="221"/>
      <c r="X593" s="221"/>
    </row>
    <row r="594" spans="1:24" ht="14" x14ac:dyDescent="0.3">
      <c r="A594" s="221"/>
      <c r="B594" s="221"/>
      <c r="C594" s="221"/>
      <c r="D594" s="221"/>
      <c r="E594" s="221"/>
      <c r="F594" s="221"/>
      <c r="G594" s="221"/>
      <c r="H594" s="221"/>
      <c r="I594" s="221"/>
      <c r="J594" s="221"/>
      <c r="K594" s="221"/>
      <c r="L594" s="221"/>
      <c r="M594" s="221"/>
      <c r="N594" s="221"/>
      <c r="O594" s="221"/>
      <c r="P594" s="221"/>
      <c r="Q594" s="221"/>
      <c r="R594" s="221"/>
      <c r="S594" s="221"/>
      <c r="T594" s="221"/>
      <c r="U594" s="221"/>
      <c r="V594" s="221"/>
      <c r="W594" s="221"/>
      <c r="X594" s="221"/>
    </row>
    <row r="595" spans="1:24" ht="14" x14ac:dyDescent="0.3">
      <c r="A595" s="221"/>
      <c r="B595" s="221"/>
      <c r="C595" s="221"/>
      <c r="D595" s="221"/>
      <c r="E595" s="221"/>
      <c r="F595" s="221"/>
      <c r="G595" s="221"/>
      <c r="H595" s="221"/>
      <c r="I595" s="221"/>
      <c r="J595" s="221"/>
      <c r="K595" s="221"/>
      <c r="L595" s="221"/>
      <c r="M595" s="221"/>
      <c r="N595" s="221"/>
      <c r="O595" s="221"/>
      <c r="P595" s="221"/>
      <c r="Q595" s="221"/>
      <c r="R595" s="221"/>
      <c r="S595" s="221"/>
      <c r="T595" s="221"/>
      <c r="U595" s="221"/>
      <c r="V595" s="221"/>
      <c r="W595" s="221"/>
      <c r="X595" s="221"/>
    </row>
    <row r="596" spans="1:24" ht="14" x14ac:dyDescent="0.3">
      <c r="A596" s="221"/>
      <c r="B596" s="221"/>
      <c r="C596" s="221"/>
      <c r="D596" s="221"/>
      <c r="E596" s="221"/>
      <c r="F596" s="221"/>
      <c r="G596" s="221"/>
      <c r="H596" s="221"/>
      <c r="I596" s="221"/>
      <c r="J596" s="221"/>
      <c r="K596" s="221"/>
      <c r="L596" s="221"/>
      <c r="M596" s="221"/>
      <c r="N596" s="221"/>
      <c r="O596" s="221"/>
      <c r="P596" s="221"/>
      <c r="Q596" s="221"/>
      <c r="R596" s="221"/>
      <c r="S596" s="221"/>
      <c r="T596" s="221"/>
      <c r="U596" s="221"/>
      <c r="V596" s="221"/>
      <c r="W596" s="221"/>
      <c r="X596" s="221"/>
    </row>
    <row r="597" spans="1:24" ht="14" x14ac:dyDescent="0.3">
      <c r="A597" s="221"/>
      <c r="B597" s="221"/>
      <c r="C597" s="221"/>
      <c r="D597" s="221"/>
      <c r="E597" s="221"/>
      <c r="F597" s="221"/>
      <c r="G597" s="221"/>
      <c r="H597" s="221"/>
      <c r="I597" s="221"/>
      <c r="J597" s="221"/>
      <c r="K597" s="221"/>
      <c r="L597" s="221"/>
      <c r="M597" s="221"/>
      <c r="N597" s="221"/>
      <c r="O597" s="221"/>
      <c r="P597" s="221"/>
      <c r="Q597" s="221"/>
      <c r="R597" s="221"/>
      <c r="S597" s="221"/>
      <c r="T597" s="221"/>
      <c r="U597" s="221"/>
      <c r="V597" s="221"/>
      <c r="W597" s="221"/>
      <c r="X597" s="221"/>
    </row>
    <row r="598" spans="1:24" ht="14" x14ac:dyDescent="0.3">
      <c r="A598" s="221"/>
      <c r="B598" s="221"/>
      <c r="C598" s="221"/>
      <c r="D598" s="221"/>
      <c r="E598" s="221"/>
      <c r="F598" s="221"/>
      <c r="G598" s="221"/>
      <c r="H598" s="221"/>
      <c r="I598" s="221"/>
      <c r="J598" s="221"/>
      <c r="K598" s="221"/>
      <c r="L598" s="221"/>
      <c r="M598" s="221"/>
      <c r="N598" s="221"/>
      <c r="O598" s="221"/>
      <c r="P598" s="221"/>
      <c r="Q598" s="221"/>
      <c r="R598" s="221"/>
      <c r="S598" s="221"/>
      <c r="T598" s="221"/>
      <c r="U598" s="221"/>
      <c r="V598" s="221"/>
      <c r="W598" s="221"/>
      <c r="X598" s="221"/>
    </row>
    <row r="599" spans="1:24" ht="14" x14ac:dyDescent="0.3">
      <c r="A599" s="221"/>
      <c r="B599" s="221"/>
      <c r="C599" s="221"/>
      <c r="D599" s="221"/>
      <c r="E599" s="221"/>
      <c r="F599" s="221"/>
      <c r="G599" s="221"/>
      <c r="H599" s="221"/>
      <c r="I599" s="221"/>
      <c r="J599" s="221"/>
      <c r="K599" s="221"/>
      <c r="L599" s="221"/>
      <c r="M599" s="221"/>
      <c r="N599" s="221"/>
      <c r="O599" s="221"/>
      <c r="P599" s="221"/>
      <c r="Q599" s="221"/>
      <c r="R599" s="221"/>
      <c r="S599" s="221"/>
      <c r="T599" s="221"/>
      <c r="U599" s="221"/>
      <c r="V599" s="221"/>
      <c r="W599" s="221"/>
      <c r="X599" s="221"/>
    </row>
    <row r="600" spans="1:24" ht="14" x14ac:dyDescent="0.3">
      <c r="A600" s="221"/>
      <c r="B600" s="221"/>
      <c r="C600" s="221"/>
      <c r="D600" s="221"/>
      <c r="E600" s="221"/>
      <c r="F600" s="221"/>
      <c r="G600" s="221"/>
      <c r="H600" s="221"/>
      <c r="I600" s="221"/>
      <c r="J600" s="221"/>
      <c r="K600" s="221"/>
      <c r="L600" s="221"/>
      <c r="M600" s="221"/>
      <c r="N600" s="221"/>
      <c r="O600" s="221"/>
      <c r="P600" s="221"/>
      <c r="Q600" s="221"/>
      <c r="R600" s="221"/>
      <c r="S600" s="221"/>
      <c r="T600" s="221"/>
      <c r="U600" s="221"/>
      <c r="V600" s="221"/>
      <c r="W600" s="221"/>
      <c r="X600" s="221"/>
    </row>
    <row r="601" spans="1:24" ht="14" x14ac:dyDescent="0.3">
      <c r="A601" s="221"/>
      <c r="B601" s="221"/>
      <c r="C601" s="221"/>
      <c r="D601" s="221"/>
      <c r="E601" s="221"/>
      <c r="F601" s="221"/>
      <c r="G601" s="221"/>
      <c r="H601" s="221"/>
      <c r="I601" s="221"/>
      <c r="J601" s="221"/>
      <c r="K601" s="221"/>
      <c r="L601" s="221"/>
      <c r="M601" s="221"/>
      <c r="N601" s="221"/>
      <c r="O601" s="221"/>
      <c r="P601" s="221"/>
      <c r="Q601" s="221"/>
      <c r="R601" s="221"/>
      <c r="S601" s="221"/>
      <c r="T601" s="221"/>
      <c r="U601" s="221"/>
      <c r="V601" s="221"/>
      <c r="W601" s="221"/>
      <c r="X601" s="221"/>
    </row>
    <row r="602" spans="1:24" ht="14" x14ac:dyDescent="0.3">
      <c r="A602" s="221"/>
      <c r="B602" s="221"/>
      <c r="C602" s="221"/>
      <c r="D602" s="221"/>
      <c r="E602" s="221"/>
      <c r="F602" s="221"/>
      <c r="G602" s="221"/>
      <c r="H602" s="221"/>
      <c r="I602" s="221"/>
      <c r="J602" s="221"/>
      <c r="K602" s="221"/>
      <c r="L602" s="221"/>
      <c r="M602" s="221"/>
      <c r="N602" s="221"/>
      <c r="O602" s="221"/>
      <c r="P602" s="221"/>
      <c r="Q602" s="221"/>
      <c r="R602" s="221"/>
      <c r="S602" s="221"/>
      <c r="T602" s="221"/>
      <c r="U602" s="221"/>
      <c r="V602" s="221"/>
      <c r="W602" s="221"/>
      <c r="X602" s="221"/>
    </row>
    <row r="603" spans="1:24" ht="14" x14ac:dyDescent="0.3">
      <c r="A603" s="221"/>
      <c r="B603" s="221"/>
      <c r="C603" s="221"/>
      <c r="D603" s="221"/>
      <c r="E603" s="221"/>
      <c r="F603" s="221"/>
      <c r="G603" s="221"/>
      <c r="H603" s="221"/>
      <c r="I603" s="221"/>
      <c r="J603" s="221"/>
      <c r="K603" s="221"/>
      <c r="L603" s="221"/>
      <c r="M603" s="221"/>
      <c r="N603" s="221"/>
      <c r="O603" s="221"/>
      <c r="P603" s="221"/>
      <c r="Q603" s="221"/>
      <c r="R603" s="221"/>
      <c r="S603" s="221"/>
      <c r="T603" s="221"/>
      <c r="U603" s="221"/>
      <c r="V603" s="221"/>
      <c r="W603" s="221"/>
      <c r="X603" s="221"/>
    </row>
    <row r="604" spans="1:24" ht="14" x14ac:dyDescent="0.3">
      <c r="A604" s="221"/>
      <c r="B604" s="221"/>
      <c r="C604" s="221"/>
      <c r="D604" s="221"/>
      <c r="E604" s="221"/>
      <c r="F604" s="221"/>
      <c r="G604" s="221"/>
      <c r="H604" s="221"/>
      <c r="I604" s="221"/>
      <c r="J604" s="221"/>
      <c r="K604" s="221"/>
      <c r="L604" s="221"/>
      <c r="M604" s="221"/>
      <c r="N604" s="221"/>
      <c r="O604" s="221"/>
      <c r="P604" s="221"/>
      <c r="Q604" s="221"/>
      <c r="R604" s="221"/>
      <c r="S604" s="221"/>
      <c r="T604" s="221"/>
      <c r="U604" s="221"/>
      <c r="V604" s="221"/>
      <c r="W604" s="221"/>
      <c r="X604" s="221"/>
    </row>
    <row r="605" spans="1:24" ht="14" x14ac:dyDescent="0.3">
      <c r="A605" s="221"/>
      <c r="B605" s="221"/>
      <c r="C605" s="221"/>
      <c r="D605" s="221"/>
      <c r="E605" s="221"/>
      <c r="F605" s="221"/>
      <c r="G605" s="221"/>
      <c r="H605" s="221"/>
      <c r="I605" s="221"/>
      <c r="J605" s="221"/>
      <c r="K605" s="221"/>
      <c r="L605" s="221"/>
      <c r="M605" s="221"/>
      <c r="N605" s="221"/>
      <c r="O605" s="221"/>
      <c r="P605" s="221"/>
      <c r="Q605" s="221"/>
      <c r="R605" s="221"/>
      <c r="S605" s="221"/>
      <c r="T605" s="221"/>
      <c r="U605" s="221"/>
      <c r="V605" s="221"/>
      <c r="W605" s="221"/>
      <c r="X605" s="221"/>
    </row>
    <row r="606" spans="1:24" ht="14" x14ac:dyDescent="0.3">
      <c r="A606" s="221"/>
      <c r="B606" s="221"/>
      <c r="C606" s="221"/>
      <c r="D606" s="221"/>
      <c r="E606" s="221"/>
      <c r="F606" s="221"/>
      <c r="G606" s="221"/>
      <c r="H606" s="221"/>
      <c r="I606" s="221"/>
      <c r="J606" s="221"/>
      <c r="K606" s="221"/>
      <c r="L606" s="221"/>
      <c r="M606" s="221"/>
      <c r="N606" s="221"/>
      <c r="O606" s="221"/>
      <c r="P606" s="221"/>
      <c r="Q606" s="221"/>
      <c r="R606" s="221"/>
      <c r="S606" s="221"/>
      <c r="T606" s="221"/>
      <c r="U606" s="221"/>
      <c r="V606" s="221"/>
      <c r="W606" s="221"/>
      <c r="X606" s="221"/>
    </row>
    <row r="607" spans="1:24" ht="14" x14ac:dyDescent="0.3">
      <c r="A607" s="221"/>
      <c r="B607" s="221"/>
      <c r="C607" s="221"/>
      <c r="D607" s="221"/>
      <c r="E607" s="221"/>
      <c r="F607" s="221"/>
      <c r="G607" s="221"/>
      <c r="H607" s="221"/>
      <c r="I607" s="221"/>
      <c r="J607" s="221"/>
      <c r="K607" s="221"/>
      <c r="L607" s="221"/>
      <c r="M607" s="221"/>
      <c r="N607" s="221"/>
      <c r="O607" s="221"/>
      <c r="P607" s="221"/>
      <c r="Q607" s="221"/>
      <c r="R607" s="221"/>
      <c r="S607" s="221"/>
      <c r="T607" s="221"/>
      <c r="U607" s="221"/>
      <c r="V607" s="221"/>
      <c r="W607" s="221"/>
      <c r="X607" s="221"/>
    </row>
    <row r="608" spans="1:24" ht="14" x14ac:dyDescent="0.3">
      <c r="A608" s="221"/>
      <c r="B608" s="221"/>
      <c r="C608" s="221"/>
      <c r="D608" s="221"/>
      <c r="E608" s="221"/>
      <c r="F608" s="221"/>
      <c r="G608" s="221"/>
      <c r="H608" s="221"/>
      <c r="I608" s="221"/>
      <c r="J608" s="221"/>
      <c r="K608" s="221"/>
      <c r="L608" s="221"/>
      <c r="M608" s="221"/>
      <c r="N608" s="221"/>
      <c r="O608" s="221"/>
      <c r="P608" s="221"/>
      <c r="Q608" s="221"/>
      <c r="R608" s="221"/>
      <c r="S608" s="221"/>
      <c r="T608" s="221"/>
      <c r="U608" s="221"/>
      <c r="V608" s="221"/>
      <c r="W608" s="221"/>
      <c r="X608" s="221"/>
    </row>
    <row r="609" spans="1:24" ht="14" x14ac:dyDescent="0.3">
      <c r="A609" s="221"/>
      <c r="B609" s="221"/>
      <c r="C609" s="221"/>
      <c r="D609" s="221"/>
      <c r="E609" s="221"/>
      <c r="F609" s="221"/>
      <c r="G609" s="221"/>
      <c r="H609" s="221"/>
      <c r="I609" s="221"/>
      <c r="J609" s="221"/>
      <c r="K609" s="221"/>
      <c r="L609" s="221"/>
      <c r="M609" s="221"/>
      <c r="N609" s="221"/>
      <c r="O609" s="221"/>
      <c r="P609" s="221"/>
      <c r="Q609" s="221"/>
      <c r="R609" s="221"/>
      <c r="S609" s="221"/>
      <c r="T609" s="221"/>
      <c r="U609" s="221"/>
      <c r="V609" s="221"/>
      <c r="W609" s="221"/>
      <c r="X609" s="221"/>
    </row>
    <row r="610" spans="1:24" ht="14" x14ac:dyDescent="0.3">
      <c r="A610" s="221"/>
      <c r="B610" s="221"/>
      <c r="C610" s="221"/>
      <c r="D610" s="221"/>
      <c r="E610" s="221"/>
      <c r="F610" s="221"/>
      <c r="G610" s="221"/>
      <c r="H610" s="221"/>
      <c r="I610" s="221"/>
      <c r="J610" s="221"/>
      <c r="K610" s="221"/>
      <c r="L610" s="221"/>
      <c r="M610" s="221"/>
      <c r="N610" s="221"/>
      <c r="O610" s="221"/>
      <c r="P610" s="221"/>
      <c r="Q610" s="221"/>
      <c r="R610" s="221"/>
      <c r="S610" s="221"/>
      <c r="T610" s="221"/>
      <c r="U610" s="221"/>
      <c r="V610" s="221"/>
      <c r="W610" s="221"/>
      <c r="X610" s="221"/>
    </row>
    <row r="611" spans="1:24" ht="14" x14ac:dyDescent="0.3">
      <c r="A611" s="221"/>
      <c r="B611" s="221"/>
      <c r="C611" s="221"/>
      <c r="D611" s="221"/>
      <c r="E611" s="221"/>
      <c r="F611" s="221"/>
      <c r="G611" s="221"/>
      <c r="H611" s="221"/>
      <c r="I611" s="221"/>
      <c r="J611" s="221"/>
      <c r="K611" s="221"/>
      <c r="L611" s="221"/>
      <c r="M611" s="221"/>
      <c r="N611" s="221"/>
      <c r="O611" s="221"/>
      <c r="P611" s="221"/>
      <c r="Q611" s="221"/>
      <c r="R611" s="221"/>
      <c r="S611" s="221"/>
      <c r="T611" s="221"/>
      <c r="U611" s="221"/>
      <c r="V611" s="221"/>
      <c r="W611" s="221"/>
      <c r="X611" s="221"/>
    </row>
    <row r="612" spans="1:24" ht="14" x14ac:dyDescent="0.3">
      <c r="A612" s="221"/>
      <c r="B612" s="221"/>
      <c r="C612" s="221"/>
      <c r="D612" s="221"/>
      <c r="E612" s="221"/>
      <c r="F612" s="221"/>
      <c r="G612" s="221"/>
      <c r="H612" s="221"/>
      <c r="I612" s="221"/>
      <c r="J612" s="221"/>
      <c r="K612" s="221"/>
      <c r="L612" s="221"/>
      <c r="M612" s="221"/>
      <c r="N612" s="221"/>
      <c r="O612" s="221"/>
      <c r="P612" s="221"/>
      <c r="Q612" s="221"/>
      <c r="R612" s="221"/>
      <c r="S612" s="221"/>
      <c r="T612" s="221"/>
      <c r="U612" s="221"/>
      <c r="V612" s="221"/>
      <c r="W612" s="221"/>
      <c r="X612" s="221"/>
    </row>
    <row r="613" spans="1:24" ht="14" x14ac:dyDescent="0.3">
      <c r="A613" s="221"/>
      <c r="B613" s="221"/>
      <c r="C613" s="221"/>
      <c r="D613" s="221"/>
      <c r="E613" s="221"/>
      <c r="F613" s="221"/>
      <c r="G613" s="221"/>
      <c r="H613" s="221"/>
      <c r="I613" s="221"/>
      <c r="J613" s="221"/>
      <c r="K613" s="221"/>
      <c r="L613" s="221"/>
      <c r="M613" s="221"/>
      <c r="N613" s="221"/>
      <c r="O613" s="221"/>
      <c r="P613" s="221"/>
      <c r="Q613" s="221"/>
      <c r="R613" s="221"/>
      <c r="S613" s="221"/>
      <c r="T613" s="221"/>
      <c r="U613" s="221"/>
      <c r="V613" s="221"/>
      <c r="W613" s="221"/>
      <c r="X613" s="221"/>
    </row>
    <row r="614" spans="1:24" ht="14" x14ac:dyDescent="0.3">
      <c r="A614" s="221"/>
      <c r="B614" s="221"/>
      <c r="C614" s="221"/>
      <c r="D614" s="221"/>
      <c r="E614" s="221"/>
      <c r="F614" s="221"/>
      <c r="G614" s="221"/>
      <c r="H614" s="221"/>
      <c r="I614" s="221"/>
      <c r="J614" s="221"/>
      <c r="K614" s="221"/>
      <c r="L614" s="221"/>
      <c r="M614" s="221"/>
      <c r="N614" s="221"/>
      <c r="O614" s="221"/>
      <c r="P614" s="221"/>
      <c r="Q614" s="221"/>
      <c r="R614" s="221"/>
      <c r="S614" s="221"/>
      <c r="T614" s="221"/>
      <c r="U614" s="221"/>
      <c r="V614" s="221"/>
      <c r="W614" s="221"/>
      <c r="X614" s="221"/>
    </row>
    <row r="615" spans="1:24" ht="14" x14ac:dyDescent="0.3">
      <c r="A615" s="221"/>
      <c r="B615" s="221"/>
      <c r="C615" s="221"/>
      <c r="D615" s="221"/>
      <c r="E615" s="221"/>
      <c r="F615" s="221"/>
      <c r="G615" s="221"/>
      <c r="H615" s="221"/>
      <c r="I615" s="221"/>
      <c r="J615" s="221"/>
      <c r="K615" s="221"/>
      <c r="L615" s="221"/>
      <c r="M615" s="221"/>
      <c r="N615" s="221"/>
      <c r="O615" s="221"/>
      <c r="P615" s="221"/>
      <c r="Q615" s="221"/>
      <c r="R615" s="221"/>
      <c r="S615" s="221"/>
      <c r="T615" s="221"/>
      <c r="U615" s="221"/>
      <c r="V615" s="221"/>
      <c r="W615" s="221"/>
      <c r="X615" s="221"/>
    </row>
    <row r="616" spans="1:24" ht="14" x14ac:dyDescent="0.3">
      <c r="A616" s="221"/>
      <c r="B616" s="221"/>
      <c r="C616" s="221"/>
      <c r="D616" s="221"/>
      <c r="E616" s="221"/>
      <c r="F616" s="221"/>
      <c r="G616" s="221"/>
      <c r="H616" s="221"/>
      <c r="I616" s="221"/>
      <c r="J616" s="221"/>
      <c r="K616" s="221"/>
      <c r="L616" s="221"/>
      <c r="M616" s="221"/>
      <c r="N616" s="221"/>
      <c r="O616" s="221"/>
      <c r="P616" s="221"/>
      <c r="Q616" s="221"/>
      <c r="R616" s="221"/>
      <c r="S616" s="221"/>
      <c r="T616" s="221"/>
      <c r="U616" s="221"/>
      <c r="V616" s="221"/>
      <c r="W616" s="221"/>
      <c r="X616" s="221"/>
    </row>
    <row r="617" spans="1:24" ht="14" x14ac:dyDescent="0.3">
      <c r="A617" s="221"/>
      <c r="B617" s="221"/>
      <c r="C617" s="221"/>
      <c r="D617" s="221"/>
      <c r="E617" s="221"/>
      <c r="F617" s="221"/>
      <c r="G617" s="221"/>
      <c r="H617" s="221"/>
      <c r="I617" s="221"/>
      <c r="J617" s="221"/>
      <c r="K617" s="221"/>
      <c r="L617" s="221"/>
      <c r="M617" s="221"/>
      <c r="N617" s="221"/>
      <c r="O617" s="221"/>
      <c r="P617" s="221"/>
      <c r="Q617" s="221"/>
      <c r="R617" s="221"/>
      <c r="S617" s="221"/>
      <c r="T617" s="221"/>
      <c r="U617" s="221"/>
      <c r="V617" s="221"/>
      <c r="W617" s="221"/>
      <c r="X617" s="221"/>
    </row>
    <row r="618" spans="1:24" ht="14" x14ac:dyDescent="0.3">
      <c r="A618" s="221"/>
      <c r="B618" s="221"/>
      <c r="C618" s="221"/>
      <c r="D618" s="221"/>
      <c r="E618" s="221"/>
      <c r="F618" s="221"/>
      <c r="G618" s="221"/>
      <c r="H618" s="221"/>
      <c r="I618" s="221"/>
      <c r="J618" s="221"/>
      <c r="K618" s="221"/>
      <c r="L618" s="221"/>
      <c r="M618" s="221"/>
      <c r="N618" s="221"/>
      <c r="O618" s="221"/>
      <c r="P618" s="221"/>
      <c r="Q618" s="221"/>
      <c r="R618" s="221"/>
      <c r="S618" s="221"/>
      <c r="T618" s="221"/>
      <c r="U618" s="221"/>
      <c r="V618" s="221"/>
      <c r="W618" s="221"/>
      <c r="X618" s="221"/>
    </row>
    <row r="619" spans="1:24" ht="14" x14ac:dyDescent="0.3">
      <c r="A619" s="221"/>
      <c r="B619" s="221"/>
      <c r="C619" s="221"/>
      <c r="D619" s="221"/>
      <c r="E619" s="221"/>
      <c r="F619" s="221"/>
      <c r="G619" s="221"/>
      <c r="H619" s="221"/>
      <c r="I619" s="221"/>
      <c r="J619" s="221"/>
      <c r="K619" s="221"/>
      <c r="L619" s="221"/>
      <c r="M619" s="221"/>
      <c r="N619" s="221"/>
      <c r="O619" s="221"/>
      <c r="P619" s="221"/>
      <c r="Q619" s="221"/>
      <c r="R619" s="221"/>
      <c r="S619" s="221"/>
      <c r="T619" s="221"/>
      <c r="U619" s="221"/>
      <c r="V619" s="221"/>
      <c r="W619" s="221"/>
      <c r="X619" s="221"/>
    </row>
    <row r="620" spans="1:24" ht="14" x14ac:dyDescent="0.3">
      <c r="A620" s="221"/>
      <c r="B620" s="221"/>
      <c r="C620" s="221"/>
      <c r="D620" s="221"/>
      <c r="E620" s="221"/>
      <c r="F620" s="221"/>
      <c r="G620" s="221"/>
      <c r="H620" s="221"/>
      <c r="I620" s="221"/>
      <c r="J620" s="221"/>
      <c r="K620" s="221"/>
      <c r="L620" s="221"/>
      <c r="M620" s="221"/>
      <c r="N620" s="221"/>
      <c r="O620" s="221"/>
      <c r="P620" s="221"/>
      <c r="Q620" s="221"/>
      <c r="R620" s="221"/>
      <c r="S620" s="221"/>
      <c r="T620" s="221"/>
      <c r="U620" s="221"/>
      <c r="V620" s="221"/>
      <c r="W620" s="221"/>
      <c r="X620" s="221"/>
    </row>
    <row r="621" spans="1:24" ht="14" x14ac:dyDescent="0.3">
      <c r="A621" s="221"/>
      <c r="B621" s="221"/>
      <c r="C621" s="221"/>
      <c r="D621" s="221"/>
      <c r="E621" s="221"/>
      <c r="F621" s="221"/>
      <c r="G621" s="221"/>
      <c r="H621" s="221"/>
      <c r="I621" s="221"/>
      <c r="J621" s="221"/>
      <c r="K621" s="221"/>
      <c r="L621" s="221"/>
      <c r="M621" s="221"/>
      <c r="N621" s="221"/>
      <c r="O621" s="221"/>
      <c r="P621" s="221"/>
      <c r="Q621" s="221"/>
      <c r="R621" s="221"/>
      <c r="S621" s="221"/>
      <c r="T621" s="221"/>
      <c r="U621" s="221"/>
      <c r="V621" s="221"/>
      <c r="W621" s="221"/>
      <c r="X621" s="221"/>
    </row>
    <row r="622" spans="1:24" ht="14" x14ac:dyDescent="0.3">
      <c r="A622" s="221"/>
      <c r="B622" s="221"/>
      <c r="C622" s="221"/>
      <c r="D622" s="221"/>
      <c r="E622" s="221"/>
      <c r="F622" s="221"/>
      <c r="G622" s="221"/>
      <c r="H622" s="221"/>
      <c r="I622" s="221"/>
      <c r="J622" s="221"/>
      <c r="K622" s="221"/>
      <c r="L622" s="221"/>
      <c r="M622" s="221"/>
      <c r="N622" s="221"/>
      <c r="O622" s="221"/>
      <c r="P622" s="221"/>
      <c r="Q622" s="221"/>
      <c r="R622" s="221"/>
      <c r="S622" s="221"/>
      <c r="T622" s="221"/>
      <c r="U622" s="221"/>
      <c r="V622" s="221"/>
      <c r="W622" s="221"/>
      <c r="X622" s="221"/>
    </row>
    <row r="623" spans="1:24" ht="14" x14ac:dyDescent="0.3">
      <c r="A623" s="221"/>
      <c r="B623" s="221"/>
      <c r="C623" s="221"/>
      <c r="D623" s="221"/>
      <c r="E623" s="221"/>
      <c r="F623" s="221"/>
      <c r="G623" s="221"/>
      <c r="H623" s="221"/>
      <c r="I623" s="221"/>
      <c r="J623" s="221"/>
      <c r="K623" s="221"/>
      <c r="L623" s="221"/>
      <c r="M623" s="221"/>
      <c r="N623" s="221"/>
      <c r="O623" s="221"/>
      <c r="P623" s="221"/>
      <c r="Q623" s="221"/>
      <c r="R623" s="221"/>
      <c r="S623" s="221"/>
      <c r="T623" s="221"/>
      <c r="U623" s="221"/>
      <c r="V623" s="221"/>
      <c r="W623" s="221"/>
      <c r="X623" s="221"/>
    </row>
    <row r="624" spans="1:24" ht="14" x14ac:dyDescent="0.3">
      <c r="A624" s="221"/>
      <c r="B624" s="221"/>
      <c r="C624" s="221"/>
      <c r="D624" s="221"/>
      <c r="E624" s="221"/>
      <c r="F624" s="221"/>
      <c r="G624" s="221"/>
      <c r="H624" s="221"/>
      <c r="I624" s="221"/>
      <c r="J624" s="221"/>
      <c r="K624" s="221"/>
      <c r="L624" s="221"/>
      <c r="M624" s="221"/>
      <c r="N624" s="221"/>
      <c r="O624" s="221"/>
      <c r="P624" s="221"/>
      <c r="Q624" s="221"/>
      <c r="R624" s="221"/>
      <c r="S624" s="221"/>
      <c r="T624" s="221"/>
      <c r="U624" s="221"/>
      <c r="V624" s="221"/>
      <c r="W624" s="221"/>
      <c r="X624" s="221"/>
    </row>
    <row r="625" spans="1:24" ht="14" x14ac:dyDescent="0.3">
      <c r="A625" s="221"/>
      <c r="B625" s="221"/>
      <c r="C625" s="221"/>
      <c r="D625" s="221"/>
      <c r="E625" s="221"/>
      <c r="F625" s="221"/>
      <c r="G625" s="221"/>
      <c r="H625" s="221"/>
      <c r="I625" s="221"/>
      <c r="J625" s="221"/>
      <c r="K625" s="221"/>
      <c r="L625" s="221"/>
      <c r="M625" s="221"/>
      <c r="N625" s="221"/>
      <c r="O625" s="221"/>
      <c r="P625" s="221"/>
      <c r="Q625" s="221"/>
      <c r="R625" s="221"/>
      <c r="S625" s="221"/>
      <c r="T625" s="221"/>
      <c r="U625" s="221"/>
      <c r="V625" s="221"/>
      <c r="W625" s="221"/>
      <c r="X625" s="221"/>
    </row>
    <row r="626" spans="1:24" ht="14" x14ac:dyDescent="0.3">
      <c r="A626" s="221"/>
      <c r="B626" s="221"/>
      <c r="C626" s="221"/>
      <c r="D626" s="221"/>
      <c r="E626" s="221"/>
      <c r="F626" s="221"/>
      <c r="G626" s="221"/>
      <c r="H626" s="221"/>
      <c r="I626" s="221"/>
      <c r="J626" s="221"/>
      <c r="K626" s="221"/>
      <c r="L626" s="221"/>
      <c r="M626" s="221"/>
      <c r="N626" s="221"/>
      <c r="O626" s="221"/>
      <c r="P626" s="221"/>
      <c r="Q626" s="221"/>
      <c r="R626" s="221"/>
      <c r="S626" s="221"/>
      <c r="T626" s="221"/>
      <c r="U626" s="221"/>
      <c r="V626" s="221"/>
      <c r="W626" s="221"/>
      <c r="X626" s="221"/>
    </row>
    <row r="627" spans="1:24" ht="14" x14ac:dyDescent="0.3">
      <c r="A627" s="221"/>
      <c r="B627" s="221"/>
      <c r="C627" s="221"/>
      <c r="D627" s="221"/>
      <c r="E627" s="221"/>
      <c r="F627" s="221"/>
      <c r="G627" s="221"/>
      <c r="H627" s="221"/>
      <c r="I627" s="221"/>
      <c r="J627" s="221"/>
      <c r="K627" s="221"/>
      <c r="L627" s="221"/>
      <c r="M627" s="221"/>
      <c r="N627" s="221"/>
      <c r="O627" s="221"/>
      <c r="P627" s="221"/>
      <c r="Q627" s="221"/>
      <c r="R627" s="221"/>
      <c r="S627" s="221"/>
      <c r="T627" s="221"/>
      <c r="U627" s="221"/>
      <c r="V627" s="221"/>
      <c r="W627" s="221"/>
      <c r="X627" s="221"/>
    </row>
    <row r="628" spans="1:24" ht="14" x14ac:dyDescent="0.3">
      <c r="A628" s="221"/>
      <c r="B628" s="221"/>
      <c r="C628" s="221"/>
      <c r="D628" s="221"/>
      <c r="E628" s="221"/>
      <c r="F628" s="221"/>
      <c r="G628" s="221"/>
      <c r="H628" s="221"/>
      <c r="I628" s="221"/>
      <c r="J628" s="221"/>
      <c r="K628" s="221"/>
      <c r="L628" s="221"/>
      <c r="M628" s="221"/>
      <c r="N628" s="221"/>
      <c r="O628" s="221"/>
      <c r="P628" s="221"/>
      <c r="Q628" s="221"/>
      <c r="R628" s="221"/>
      <c r="S628" s="221"/>
      <c r="T628" s="221"/>
      <c r="U628" s="221"/>
      <c r="V628" s="221"/>
      <c r="W628" s="221"/>
      <c r="X628" s="221"/>
    </row>
    <row r="629" spans="1:24" ht="14" x14ac:dyDescent="0.3">
      <c r="A629" s="221"/>
      <c r="B629" s="221"/>
      <c r="C629" s="221"/>
      <c r="D629" s="221"/>
      <c r="E629" s="221"/>
      <c r="F629" s="221"/>
      <c r="G629" s="221"/>
      <c r="H629" s="221"/>
      <c r="I629" s="221"/>
      <c r="J629" s="221"/>
      <c r="K629" s="221"/>
      <c r="L629" s="221"/>
      <c r="M629" s="221"/>
      <c r="N629" s="221"/>
      <c r="O629" s="221"/>
      <c r="P629" s="221"/>
      <c r="Q629" s="221"/>
      <c r="R629" s="221"/>
      <c r="S629" s="221"/>
      <c r="T629" s="221"/>
      <c r="U629" s="221"/>
      <c r="V629" s="221"/>
      <c r="W629" s="221"/>
      <c r="X629" s="221"/>
    </row>
    <row r="630" spans="1:24" ht="14" x14ac:dyDescent="0.3">
      <c r="A630" s="221"/>
      <c r="B630" s="221"/>
      <c r="C630" s="221"/>
      <c r="D630" s="221"/>
      <c r="E630" s="221"/>
      <c r="F630" s="221"/>
      <c r="G630" s="221"/>
      <c r="H630" s="221"/>
      <c r="I630" s="221"/>
      <c r="J630" s="221"/>
      <c r="K630" s="221"/>
      <c r="L630" s="221"/>
      <c r="M630" s="221"/>
      <c r="N630" s="221"/>
      <c r="O630" s="221"/>
      <c r="P630" s="221"/>
      <c r="Q630" s="221"/>
      <c r="R630" s="221"/>
      <c r="S630" s="221"/>
      <c r="T630" s="221"/>
      <c r="U630" s="221"/>
      <c r="V630" s="221"/>
      <c r="W630" s="221"/>
      <c r="X630" s="221"/>
    </row>
    <row r="631" spans="1:24" ht="14" x14ac:dyDescent="0.3">
      <c r="A631" s="221"/>
      <c r="B631" s="221"/>
      <c r="C631" s="221"/>
      <c r="D631" s="221"/>
      <c r="E631" s="221"/>
      <c r="F631" s="221"/>
      <c r="G631" s="221"/>
      <c r="H631" s="221"/>
      <c r="I631" s="221"/>
      <c r="J631" s="221"/>
      <c r="K631" s="221"/>
      <c r="L631" s="221"/>
      <c r="M631" s="221"/>
      <c r="N631" s="221"/>
      <c r="O631" s="221"/>
      <c r="P631" s="221"/>
      <c r="Q631" s="221"/>
      <c r="R631" s="221"/>
      <c r="S631" s="221"/>
      <c r="T631" s="221"/>
      <c r="U631" s="221"/>
      <c r="V631" s="221"/>
      <c r="W631" s="221"/>
      <c r="X631" s="221"/>
    </row>
    <row r="632" spans="1:24" ht="14" x14ac:dyDescent="0.3">
      <c r="A632" s="221"/>
      <c r="B632" s="221"/>
      <c r="C632" s="221"/>
      <c r="D632" s="221"/>
      <c r="E632" s="221"/>
      <c r="F632" s="221"/>
      <c r="G632" s="221"/>
      <c r="H632" s="221"/>
      <c r="I632" s="221"/>
      <c r="J632" s="221"/>
      <c r="K632" s="221"/>
      <c r="L632" s="221"/>
      <c r="M632" s="221"/>
      <c r="N632" s="221"/>
      <c r="O632" s="221"/>
      <c r="P632" s="221"/>
      <c r="Q632" s="221"/>
      <c r="R632" s="221"/>
      <c r="S632" s="221"/>
      <c r="T632" s="221"/>
      <c r="U632" s="221"/>
      <c r="V632" s="221"/>
      <c r="W632" s="221"/>
      <c r="X632" s="221"/>
    </row>
    <row r="633" spans="1:24" ht="14" x14ac:dyDescent="0.3">
      <c r="A633" s="221"/>
      <c r="B633" s="221"/>
      <c r="C633" s="221"/>
      <c r="D633" s="221"/>
      <c r="E633" s="221"/>
      <c r="F633" s="221"/>
      <c r="G633" s="221"/>
      <c r="H633" s="221"/>
      <c r="I633" s="221"/>
      <c r="J633" s="221"/>
      <c r="K633" s="221"/>
      <c r="L633" s="221"/>
      <c r="M633" s="221"/>
      <c r="N633" s="221"/>
      <c r="O633" s="221"/>
      <c r="P633" s="221"/>
      <c r="Q633" s="221"/>
      <c r="R633" s="221"/>
      <c r="S633" s="221"/>
      <c r="T633" s="221"/>
      <c r="U633" s="221"/>
      <c r="V633" s="221"/>
      <c r="W633" s="221"/>
      <c r="X633" s="221"/>
    </row>
    <row r="634" spans="1:24" ht="14" x14ac:dyDescent="0.3">
      <c r="A634" s="221"/>
      <c r="B634" s="221"/>
      <c r="C634" s="221"/>
      <c r="D634" s="221"/>
      <c r="E634" s="221"/>
      <c r="F634" s="221"/>
      <c r="G634" s="221"/>
      <c r="H634" s="221"/>
      <c r="I634" s="221"/>
      <c r="J634" s="221"/>
      <c r="K634" s="221"/>
      <c r="L634" s="221"/>
      <c r="M634" s="221"/>
      <c r="N634" s="221"/>
      <c r="O634" s="221"/>
      <c r="P634" s="221"/>
      <c r="Q634" s="221"/>
      <c r="R634" s="221"/>
      <c r="S634" s="221"/>
      <c r="T634" s="221"/>
      <c r="U634" s="221"/>
      <c r="V634" s="221"/>
      <c r="W634" s="221"/>
      <c r="X634" s="221"/>
    </row>
    <row r="635" spans="1:24" ht="14" x14ac:dyDescent="0.3">
      <c r="A635" s="221"/>
      <c r="B635" s="221"/>
      <c r="C635" s="221"/>
      <c r="D635" s="221"/>
      <c r="E635" s="221"/>
      <c r="F635" s="221"/>
      <c r="G635" s="221"/>
      <c r="H635" s="221"/>
      <c r="I635" s="221"/>
      <c r="J635" s="221"/>
      <c r="K635" s="221"/>
      <c r="L635" s="221"/>
      <c r="M635" s="221"/>
      <c r="N635" s="221"/>
      <c r="O635" s="221"/>
      <c r="P635" s="221"/>
      <c r="Q635" s="221"/>
      <c r="R635" s="221"/>
      <c r="S635" s="221"/>
      <c r="T635" s="221"/>
      <c r="U635" s="221"/>
      <c r="V635" s="221"/>
      <c r="W635" s="221"/>
      <c r="X635" s="221"/>
    </row>
    <row r="636" spans="1:24" ht="14" x14ac:dyDescent="0.3">
      <c r="A636" s="221"/>
      <c r="B636" s="221"/>
      <c r="C636" s="221"/>
      <c r="D636" s="221"/>
      <c r="E636" s="221"/>
      <c r="F636" s="221"/>
      <c r="G636" s="221"/>
      <c r="H636" s="221"/>
      <c r="I636" s="221"/>
      <c r="J636" s="221"/>
      <c r="K636" s="221"/>
      <c r="L636" s="221"/>
      <c r="M636" s="221"/>
      <c r="N636" s="221"/>
      <c r="O636" s="221"/>
      <c r="P636" s="221"/>
      <c r="Q636" s="221"/>
      <c r="R636" s="221"/>
      <c r="S636" s="221"/>
      <c r="T636" s="221"/>
      <c r="U636" s="221"/>
      <c r="V636" s="221"/>
      <c r="W636" s="221"/>
      <c r="X636" s="221"/>
    </row>
    <row r="637" spans="1:24" ht="14" x14ac:dyDescent="0.3">
      <c r="A637" s="221"/>
      <c r="B637" s="221"/>
      <c r="C637" s="221"/>
      <c r="D637" s="221"/>
      <c r="E637" s="221"/>
      <c r="F637" s="221"/>
      <c r="G637" s="221"/>
      <c r="H637" s="221"/>
      <c r="I637" s="221"/>
      <c r="J637" s="221"/>
      <c r="K637" s="221"/>
      <c r="L637" s="221"/>
      <c r="M637" s="221"/>
      <c r="N637" s="221"/>
      <c r="O637" s="221"/>
      <c r="P637" s="221"/>
      <c r="Q637" s="221"/>
      <c r="R637" s="221"/>
      <c r="S637" s="221"/>
      <c r="T637" s="221"/>
      <c r="U637" s="221"/>
      <c r="V637" s="221"/>
      <c r="W637" s="221"/>
      <c r="X637" s="221"/>
    </row>
    <row r="638" spans="1:24" ht="14" x14ac:dyDescent="0.3">
      <c r="A638" s="221"/>
      <c r="B638" s="221"/>
      <c r="C638" s="221"/>
      <c r="D638" s="221"/>
      <c r="E638" s="221"/>
      <c r="F638" s="221"/>
      <c r="G638" s="221"/>
      <c r="H638" s="221"/>
      <c r="I638" s="221"/>
      <c r="J638" s="221"/>
      <c r="K638" s="221"/>
      <c r="L638" s="221"/>
      <c r="M638" s="221"/>
      <c r="N638" s="221"/>
      <c r="O638" s="221"/>
      <c r="P638" s="221"/>
      <c r="Q638" s="221"/>
      <c r="R638" s="221"/>
      <c r="S638" s="221"/>
      <c r="T638" s="221"/>
      <c r="U638" s="221"/>
      <c r="V638" s="221"/>
      <c r="W638" s="221"/>
      <c r="X638" s="221"/>
    </row>
    <row r="639" spans="1:24" ht="14" x14ac:dyDescent="0.3">
      <c r="A639" s="221"/>
      <c r="B639" s="221"/>
      <c r="C639" s="221"/>
      <c r="D639" s="221"/>
      <c r="E639" s="221"/>
      <c r="F639" s="221"/>
      <c r="G639" s="221"/>
      <c r="H639" s="221"/>
      <c r="I639" s="221"/>
      <c r="J639" s="221"/>
      <c r="K639" s="221"/>
      <c r="L639" s="221"/>
      <c r="M639" s="221"/>
      <c r="N639" s="221"/>
      <c r="O639" s="221"/>
      <c r="P639" s="221"/>
      <c r="Q639" s="221"/>
      <c r="R639" s="221"/>
      <c r="S639" s="221"/>
      <c r="T639" s="221"/>
      <c r="U639" s="221"/>
      <c r="V639" s="221"/>
      <c r="W639" s="221"/>
      <c r="X639" s="221"/>
    </row>
    <row r="640" spans="1:24" ht="14" x14ac:dyDescent="0.3">
      <c r="A640" s="221"/>
      <c r="B640" s="221"/>
      <c r="C640" s="221"/>
      <c r="D640" s="221"/>
      <c r="E640" s="221"/>
      <c r="F640" s="221"/>
      <c r="G640" s="221"/>
      <c r="H640" s="221"/>
      <c r="I640" s="221"/>
      <c r="J640" s="221"/>
      <c r="K640" s="221"/>
      <c r="L640" s="221"/>
      <c r="M640" s="221"/>
      <c r="N640" s="221"/>
      <c r="O640" s="221"/>
      <c r="P640" s="221"/>
      <c r="Q640" s="221"/>
      <c r="R640" s="221"/>
      <c r="S640" s="221"/>
      <c r="T640" s="221"/>
      <c r="U640" s="221"/>
      <c r="V640" s="221"/>
      <c r="W640" s="221"/>
      <c r="X640" s="221"/>
    </row>
    <row r="641" spans="1:24" ht="14" x14ac:dyDescent="0.3">
      <c r="A641" s="221"/>
      <c r="B641" s="221"/>
      <c r="C641" s="221"/>
      <c r="D641" s="221"/>
      <c r="E641" s="221"/>
      <c r="F641" s="221"/>
      <c r="G641" s="221"/>
      <c r="H641" s="221"/>
      <c r="I641" s="221"/>
      <c r="J641" s="221"/>
      <c r="K641" s="221"/>
      <c r="L641" s="221"/>
      <c r="M641" s="221"/>
      <c r="N641" s="221"/>
      <c r="O641" s="221"/>
      <c r="P641" s="221"/>
      <c r="Q641" s="221"/>
      <c r="R641" s="221"/>
      <c r="S641" s="221"/>
      <c r="T641" s="221"/>
      <c r="U641" s="221"/>
      <c r="V641" s="221"/>
      <c r="W641" s="221"/>
      <c r="X641" s="221"/>
    </row>
    <row r="642" spans="1:24" ht="14" x14ac:dyDescent="0.3">
      <c r="A642" s="221"/>
      <c r="B642" s="221"/>
      <c r="C642" s="221"/>
      <c r="D642" s="221"/>
      <c r="E642" s="221"/>
      <c r="F642" s="221"/>
      <c r="G642" s="221"/>
      <c r="H642" s="221"/>
      <c r="I642" s="221"/>
      <c r="J642" s="221"/>
      <c r="K642" s="221"/>
      <c r="L642" s="221"/>
      <c r="M642" s="221"/>
      <c r="N642" s="221"/>
      <c r="O642" s="221"/>
      <c r="P642" s="221"/>
      <c r="Q642" s="221"/>
      <c r="R642" s="221"/>
      <c r="S642" s="221"/>
      <c r="T642" s="221"/>
      <c r="U642" s="221"/>
      <c r="V642" s="221"/>
      <c r="W642" s="221"/>
      <c r="X642" s="221"/>
    </row>
    <row r="643" spans="1:24" ht="14" x14ac:dyDescent="0.3">
      <c r="A643" s="221"/>
      <c r="B643" s="221"/>
      <c r="C643" s="221"/>
      <c r="D643" s="221"/>
      <c r="E643" s="221"/>
      <c r="F643" s="221"/>
      <c r="G643" s="221"/>
      <c r="H643" s="221"/>
      <c r="I643" s="221"/>
      <c r="J643" s="221"/>
      <c r="K643" s="221"/>
      <c r="L643" s="221"/>
      <c r="M643" s="221"/>
      <c r="N643" s="221"/>
      <c r="O643" s="221"/>
      <c r="P643" s="221"/>
      <c r="Q643" s="221"/>
      <c r="R643" s="221"/>
      <c r="S643" s="221"/>
      <c r="T643" s="221"/>
      <c r="U643" s="221"/>
      <c r="V643" s="221"/>
      <c r="W643" s="221"/>
      <c r="X643" s="221"/>
    </row>
    <row r="644" spans="1:24" ht="14" x14ac:dyDescent="0.3">
      <c r="A644" s="221"/>
      <c r="B644" s="221"/>
      <c r="C644" s="221"/>
      <c r="D644" s="221"/>
      <c r="E644" s="221"/>
      <c r="F644" s="221"/>
      <c r="G644" s="221"/>
      <c r="H644" s="221"/>
      <c r="I644" s="221"/>
      <c r="J644" s="221"/>
      <c r="K644" s="221"/>
      <c r="L644" s="221"/>
      <c r="M644" s="221"/>
      <c r="N644" s="221"/>
      <c r="O644" s="221"/>
      <c r="P644" s="221"/>
      <c r="Q644" s="221"/>
      <c r="R644" s="221"/>
      <c r="S644" s="221"/>
      <c r="T644" s="221"/>
      <c r="U644" s="221"/>
      <c r="V644" s="221"/>
      <c r="W644" s="221"/>
      <c r="X644" s="221"/>
    </row>
    <row r="645" spans="1:24" ht="14" x14ac:dyDescent="0.3">
      <c r="A645" s="221"/>
      <c r="B645" s="221"/>
      <c r="C645" s="221"/>
      <c r="D645" s="221"/>
      <c r="E645" s="221"/>
      <c r="F645" s="221"/>
      <c r="G645" s="221"/>
      <c r="H645" s="221"/>
      <c r="I645" s="221"/>
      <c r="J645" s="221"/>
      <c r="K645" s="221"/>
      <c r="L645" s="221"/>
      <c r="M645" s="221"/>
      <c r="N645" s="221"/>
      <c r="O645" s="221"/>
      <c r="P645" s="221"/>
      <c r="Q645" s="221"/>
      <c r="R645" s="221"/>
      <c r="S645" s="221"/>
      <c r="T645" s="221"/>
      <c r="U645" s="221"/>
      <c r="V645" s="221"/>
      <c r="W645" s="221"/>
      <c r="X645" s="221"/>
    </row>
    <row r="646" spans="1:24" ht="14" x14ac:dyDescent="0.3">
      <c r="A646" s="221"/>
      <c r="B646" s="221"/>
      <c r="C646" s="221"/>
      <c r="D646" s="221"/>
      <c r="E646" s="221"/>
      <c r="F646" s="221"/>
      <c r="G646" s="221"/>
      <c r="H646" s="221"/>
      <c r="I646" s="221"/>
      <c r="J646" s="221"/>
      <c r="K646" s="221"/>
      <c r="L646" s="221"/>
      <c r="M646" s="221"/>
      <c r="N646" s="221"/>
      <c r="O646" s="221"/>
      <c r="P646" s="221"/>
      <c r="Q646" s="221"/>
      <c r="R646" s="221"/>
      <c r="S646" s="221"/>
      <c r="T646" s="221"/>
      <c r="U646" s="221"/>
      <c r="V646" s="221"/>
      <c r="W646" s="221"/>
      <c r="X646" s="221"/>
    </row>
    <row r="647" spans="1:24" ht="14" x14ac:dyDescent="0.3">
      <c r="A647" s="221"/>
      <c r="B647" s="221"/>
      <c r="C647" s="221"/>
      <c r="D647" s="221"/>
      <c r="E647" s="221"/>
      <c r="F647" s="221"/>
      <c r="G647" s="221"/>
      <c r="H647" s="221"/>
      <c r="I647" s="221"/>
      <c r="J647" s="221"/>
      <c r="K647" s="221"/>
      <c r="L647" s="221"/>
      <c r="M647" s="221"/>
      <c r="N647" s="221"/>
      <c r="O647" s="221"/>
      <c r="P647" s="221"/>
      <c r="Q647" s="221"/>
      <c r="R647" s="221"/>
      <c r="S647" s="221"/>
      <c r="T647" s="221"/>
      <c r="U647" s="221"/>
      <c r="V647" s="221"/>
      <c r="W647" s="221"/>
      <c r="X647" s="221"/>
    </row>
    <row r="648" spans="1:24" ht="14" x14ac:dyDescent="0.3">
      <c r="A648" s="221"/>
      <c r="B648" s="221"/>
      <c r="C648" s="221"/>
      <c r="D648" s="221"/>
      <c r="E648" s="221"/>
      <c r="F648" s="221"/>
      <c r="G648" s="221"/>
      <c r="H648" s="221"/>
      <c r="I648" s="221"/>
      <c r="J648" s="221"/>
      <c r="K648" s="221"/>
      <c r="L648" s="221"/>
      <c r="M648" s="221"/>
      <c r="N648" s="221"/>
      <c r="O648" s="221"/>
      <c r="P648" s="221"/>
      <c r="Q648" s="221"/>
      <c r="R648" s="221"/>
      <c r="S648" s="221"/>
      <c r="T648" s="221"/>
      <c r="U648" s="221"/>
      <c r="V648" s="221"/>
      <c r="W648" s="221"/>
      <c r="X648" s="221"/>
    </row>
    <row r="649" spans="1:24" ht="14" x14ac:dyDescent="0.3">
      <c r="A649" s="221"/>
      <c r="B649" s="221"/>
      <c r="C649" s="221"/>
      <c r="D649" s="221"/>
      <c r="E649" s="221"/>
      <c r="F649" s="221"/>
      <c r="G649" s="221"/>
      <c r="H649" s="221"/>
      <c r="I649" s="221"/>
      <c r="J649" s="221"/>
      <c r="K649" s="221"/>
      <c r="L649" s="221"/>
      <c r="M649" s="221"/>
      <c r="N649" s="221"/>
      <c r="O649" s="221"/>
      <c r="P649" s="221"/>
      <c r="Q649" s="221"/>
      <c r="R649" s="221"/>
      <c r="S649" s="221"/>
      <c r="T649" s="221"/>
      <c r="U649" s="221"/>
      <c r="V649" s="221"/>
      <c r="W649" s="221"/>
      <c r="X649" s="221"/>
    </row>
    <row r="650" spans="1:24" ht="14" x14ac:dyDescent="0.3">
      <c r="A650" s="221"/>
      <c r="B650" s="221"/>
      <c r="C650" s="221"/>
      <c r="D650" s="221"/>
      <c r="E650" s="221"/>
      <c r="F650" s="221"/>
      <c r="G650" s="221"/>
      <c r="H650" s="221"/>
      <c r="I650" s="221"/>
      <c r="J650" s="221"/>
      <c r="K650" s="221"/>
      <c r="L650" s="221"/>
      <c r="M650" s="221"/>
      <c r="N650" s="221"/>
      <c r="O650" s="221"/>
      <c r="P650" s="221"/>
      <c r="Q650" s="221"/>
      <c r="R650" s="221"/>
      <c r="S650" s="221"/>
      <c r="T650" s="221"/>
      <c r="U650" s="221"/>
      <c r="V650" s="221"/>
      <c r="W650" s="221"/>
      <c r="X650" s="221"/>
    </row>
    <row r="651" spans="1:24" ht="14" x14ac:dyDescent="0.3">
      <c r="A651" s="221"/>
      <c r="B651" s="221"/>
      <c r="C651" s="221"/>
      <c r="D651" s="221"/>
      <c r="E651" s="221"/>
      <c r="F651" s="221"/>
      <c r="G651" s="221"/>
      <c r="H651" s="221"/>
      <c r="I651" s="221"/>
      <c r="J651" s="221"/>
      <c r="K651" s="221"/>
      <c r="L651" s="221"/>
      <c r="M651" s="221"/>
      <c r="N651" s="221"/>
      <c r="O651" s="221"/>
      <c r="P651" s="221"/>
      <c r="Q651" s="221"/>
      <c r="R651" s="221"/>
      <c r="S651" s="221"/>
      <c r="T651" s="221"/>
      <c r="U651" s="221"/>
      <c r="V651" s="221"/>
      <c r="W651" s="221"/>
      <c r="X651" s="221"/>
    </row>
    <row r="652" spans="1:24" ht="14" x14ac:dyDescent="0.3">
      <c r="A652" s="221"/>
      <c r="B652" s="221"/>
      <c r="C652" s="221"/>
      <c r="D652" s="221"/>
      <c r="E652" s="221"/>
      <c r="F652" s="221"/>
      <c r="G652" s="221"/>
      <c r="H652" s="221"/>
      <c r="I652" s="221"/>
      <c r="J652" s="221"/>
      <c r="K652" s="221"/>
      <c r="L652" s="221"/>
      <c r="M652" s="221"/>
      <c r="N652" s="221"/>
      <c r="O652" s="221"/>
      <c r="P652" s="221"/>
      <c r="Q652" s="221"/>
      <c r="R652" s="221"/>
      <c r="S652" s="221"/>
      <c r="T652" s="221"/>
      <c r="U652" s="221"/>
      <c r="V652" s="221"/>
      <c r="W652" s="221"/>
      <c r="X652" s="221"/>
    </row>
    <row r="653" spans="1:24" ht="14" x14ac:dyDescent="0.3">
      <c r="A653" s="221"/>
      <c r="B653" s="221"/>
      <c r="C653" s="221"/>
      <c r="D653" s="221"/>
      <c r="E653" s="221"/>
      <c r="F653" s="221"/>
      <c r="G653" s="221"/>
      <c r="H653" s="221"/>
      <c r="I653" s="221"/>
      <c r="J653" s="221"/>
      <c r="K653" s="221"/>
      <c r="L653" s="221"/>
      <c r="M653" s="221"/>
      <c r="N653" s="221"/>
      <c r="O653" s="221"/>
      <c r="P653" s="221"/>
      <c r="Q653" s="221"/>
      <c r="R653" s="221"/>
      <c r="S653" s="221"/>
      <c r="T653" s="221"/>
      <c r="U653" s="221"/>
      <c r="V653" s="221"/>
      <c r="W653" s="221"/>
      <c r="X653" s="221"/>
    </row>
    <row r="654" spans="1:24" ht="14" x14ac:dyDescent="0.3">
      <c r="A654" s="221"/>
      <c r="B654" s="221"/>
      <c r="C654" s="221"/>
      <c r="D654" s="221"/>
      <c r="E654" s="221"/>
      <c r="F654" s="221"/>
      <c r="G654" s="221"/>
      <c r="H654" s="221"/>
      <c r="I654" s="221"/>
      <c r="J654" s="221"/>
      <c r="K654" s="221"/>
      <c r="L654" s="221"/>
      <c r="M654" s="221"/>
      <c r="N654" s="221"/>
      <c r="O654" s="221"/>
      <c r="P654" s="221"/>
      <c r="Q654" s="221"/>
      <c r="R654" s="221"/>
      <c r="S654" s="221"/>
      <c r="T654" s="221"/>
      <c r="U654" s="221"/>
      <c r="V654" s="221"/>
      <c r="W654" s="221"/>
      <c r="X654" s="221"/>
    </row>
    <row r="655" spans="1:24" ht="14" x14ac:dyDescent="0.3">
      <c r="A655" s="221"/>
      <c r="B655" s="221"/>
      <c r="C655" s="221"/>
      <c r="D655" s="221"/>
      <c r="E655" s="221"/>
      <c r="F655" s="221"/>
      <c r="G655" s="221"/>
      <c r="H655" s="221"/>
      <c r="I655" s="221"/>
      <c r="J655" s="221"/>
      <c r="K655" s="221"/>
      <c r="L655" s="221"/>
      <c r="M655" s="221"/>
      <c r="N655" s="221"/>
      <c r="O655" s="221"/>
      <c r="P655" s="221"/>
      <c r="Q655" s="221"/>
      <c r="R655" s="221"/>
      <c r="S655" s="221"/>
      <c r="T655" s="221"/>
      <c r="U655" s="221"/>
      <c r="V655" s="221"/>
      <c r="W655" s="221"/>
      <c r="X655" s="221"/>
    </row>
    <row r="656" spans="1:24" ht="14" x14ac:dyDescent="0.3">
      <c r="A656" s="221"/>
      <c r="B656" s="221"/>
      <c r="C656" s="221"/>
      <c r="D656" s="221"/>
      <c r="E656" s="221"/>
      <c r="F656" s="221"/>
      <c r="G656" s="221"/>
      <c r="H656" s="221"/>
      <c r="I656" s="221"/>
      <c r="J656" s="221"/>
      <c r="K656" s="221"/>
      <c r="L656" s="221"/>
      <c r="M656" s="221"/>
      <c r="N656" s="221"/>
      <c r="O656" s="221"/>
      <c r="P656" s="221"/>
      <c r="Q656" s="221"/>
      <c r="R656" s="221"/>
      <c r="S656" s="221"/>
      <c r="T656" s="221"/>
      <c r="U656" s="221"/>
      <c r="V656" s="221"/>
      <c r="W656" s="221"/>
      <c r="X656" s="221"/>
    </row>
    <row r="657" spans="1:24" ht="14" x14ac:dyDescent="0.3">
      <c r="A657" s="221"/>
      <c r="B657" s="221"/>
      <c r="C657" s="221"/>
      <c r="D657" s="221"/>
      <c r="E657" s="221"/>
      <c r="F657" s="221"/>
      <c r="G657" s="221"/>
      <c r="H657" s="221"/>
      <c r="I657" s="221"/>
      <c r="J657" s="221"/>
      <c r="K657" s="221"/>
      <c r="L657" s="221"/>
      <c r="M657" s="221"/>
      <c r="N657" s="221"/>
      <c r="O657" s="221"/>
      <c r="P657" s="221"/>
      <c r="Q657" s="221"/>
      <c r="R657" s="221"/>
      <c r="S657" s="221"/>
      <c r="T657" s="221"/>
      <c r="U657" s="221"/>
      <c r="V657" s="221"/>
      <c r="W657" s="221"/>
      <c r="X657" s="221"/>
    </row>
    <row r="658" spans="1:24" ht="14" x14ac:dyDescent="0.3">
      <c r="A658" s="221"/>
      <c r="B658" s="221"/>
      <c r="C658" s="221"/>
      <c r="D658" s="221"/>
      <c r="E658" s="221"/>
      <c r="F658" s="221"/>
      <c r="G658" s="221"/>
      <c r="H658" s="221"/>
      <c r="I658" s="221"/>
      <c r="J658" s="221"/>
      <c r="K658" s="221"/>
      <c r="L658" s="221"/>
      <c r="M658" s="221"/>
      <c r="N658" s="221"/>
      <c r="O658" s="221"/>
      <c r="P658" s="221"/>
      <c r="Q658" s="221"/>
      <c r="R658" s="221"/>
      <c r="S658" s="221"/>
      <c r="T658" s="221"/>
      <c r="U658" s="221"/>
      <c r="V658" s="221"/>
      <c r="W658" s="221"/>
      <c r="X658" s="221"/>
    </row>
    <row r="659" spans="1:24" ht="14" x14ac:dyDescent="0.3">
      <c r="A659" s="221"/>
      <c r="B659" s="221"/>
      <c r="C659" s="221"/>
      <c r="D659" s="221"/>
      <c r="E659" s="221"/>
      <c r="F659" s="221"/>
      <c r="G659" s="221"/>
      <c r="H659" s="221"/>
      <c r="I659" s="221"/>
      <c r="J659" s="221"/>
      <c r="K659" s="221"/>
      <c r="L659" s="221"/>
      <c r="M659" s="221"/>
      <c r="N659" s="221"/>
      <c r="O659" s="221"/>
      <c r="P659" s="221"/>
      <c r="Q659" s="221"/>
      <c r="R659" s="221"/>
      <c r="S659" s="221"/>
      <c r="T659" s="221"/>
      <c r="U659" s="221"/>
      <c r="V659" s="221"/>
      <c r="W659" s="221"/>
      <c r="X659" s="221"/>
    </row>
    <row r="660" spans="1:24" ht="14" x14ac:dyDescent="0.3">
      <c r="A660" s="221"/>
      <c r="B660" s="221"/>
      <c r="C660" s="221"/>
      <c r="D660" s="221"/>
      <c r="E660" s="221"/>
      <c r="F660" s="221"/>
      <c r="G660" s="221"/>
      <c r="H660" s="221"/>
      <c r="I660" s="221"/>
      <c r="J660" s="221"/>
      <c r="K660" s="221"/>
      <c r="L660" s="221"/>
      <c r="M660" s="221"/>
      <c r="N660" s="221"/>
      <c r="O660" s="221"/>
      <c r="P660" s="221"/>
      <c r="Q660" s="221"/>
      <c r="R660" s="221"/>
      <c r="S660" s="221"/>
      <c r="T660" s="221"/>
      <c r="U660" s="221"/>
      <c r="V660" s="221"/>
      <c r="W660" s="221"/>
      <c r="X660" s="221"/>
    </row>
    <row r="661" spans="1:24" ht="14" x14ac:dyDescent="0.3">
      <c r="A661" s="221"/>
      <c r="B661" s="221"/>
      <c r="C661" s="221"/>
      <c r="D661" s="221"/>
      <c r="E661" s="221"/>
      <c r="F661" s="221"/>
      <c r="G661" s="221"/>
      <c r="H661" s="221"/>
      <c r="I661" s="221"/>
      <c r="J661" s="221"/>
      <c r="K661" s="221"/>
      <c r="L661" s="221"/>
      <c r="M661" s="221"/>
      <c r="N661" s="221"/>
      <c r="O661" s="221"/>
      <c r="P661" s="221"/>
      <c r="Q661" s="221"/>
      <c r="R661" s="221"/>
      <c r="S661" s="221"/>
      <c r="T661" s="221"/>
      <c r="U661" s="221"/>
      <c r="V661" s="221"/>
      <c r="W661" s="221"/>
      <c r="X661" s="221"/>
    </row>
    <row r="662" spans="1:24" ht="14" x14ac:dyDescent="0.3">
      <c r="A662" s="221"/>
      <c r="B662" s="221"/>
      <c r="C662" s="221"/>
      <c r="D662" s="221"/>
      <c r="E662" s="221"/>
      <c r="F662" s="221"/>
      <c r="G662" s="221"/>
      <c r="H662" s="221"/>
      <c r="I662" s="221"/>
      <c r="J662" s="221"/>
      <c r="K662" s="221"/>
      <c r="L662" s="221"/>
      <c r="M662" s="221"/>
      <c r="N662" s="221"/>
      <c r="O662" s="221"/>
      <c r="P662" s="221"/>
      <c r="Q662" s="221"/>
      <c r="R662" s="221"/>
      <c r="S662" s="221"/>
      <c r="T662" s="221"/>
      <c r="U662" s="221"/>
      <c r="V662" s="221"/>
      <c r="W662" s="221"/>
      <c r="X662" s="221"/>
    </row>
    <row r="663" spans="1:24" ht="14" x14ac:dyDescent="0.3">
      <c r="A663" s="221"/>
      <c r="B663" s="221"/>
      <c r="C663" s="221"/>
      <c r="D663" s="221"/>
      <c r="E663" s="221"/>
      <c r="F663" s="221"/>
      <c r="G663" s="221"/>
      <c r="H663" s="221"/>
      <c r="I663" s="221"/>
      <c r="J663" s="221"/>
      <c r="K663" s="221"/>
      <c r="L663" s="221"/>
      <c r="M663" s="221"/>
      <c r="N663" s="221"/>
      <c r="O663" s="221"/>
      <c r="P663" s="221"/>
      <c r="Q663" s="221"/>
      <c r="R663" s="221"/>
      <c r="S663" s="221"/>
      <c r="T663" s="221"/>
      <c r="U663" s="221"/>
      <c r="V663" s="221"/>
      <c r="W663" s="221"/>
      <c r="X663" s="221"/>
    </row>
    <row r="664" spans="1:24" ht="14" x14ac:dyDescent="0.3">
      <c r="A664" s="221"/>
      <c r="B664" s="221"/>
      <c r="C664" s="221"/>
      <c r="D664" s="221"/>
      <c r="E664" s="221"/>
      <c r="F664" s="221"/>
      <c r="G664" s="221"/>
      <c r="H664" s="221"/>
      <c r="I664" s="221"/>
      <c r="J664" s="221"/>
      <c r="K664" s="221"/>
      <c r="L664" s="221"/>
      <c r="M664" s="221"/>
      <c r="N664" s="221"/>
      <c r="O664" s="221"/>
      <c r="P664" s="221"/>
      <c r="Q664" s="221"/>
      <c r="R664" s="221"/>
      <c r="S664" s="221"/>
      <c r="T664" s="221"/>
      <c r="U664" s="221"/>
      <c r="V664" s="221"/>
      <c r="W664" s="221"/>
      <c r="X664" s="221"/>
    </row>
    <row r="665" spans="1:24" ht="14" x14ac:dyDescent="0.3">
      <c r="A665" s="221"/>
      <c r="B665" s="221"/>
      <c r="C665" s="221"/>
      <c r="D665" s="221"/>
      <c r="E665" s="221"/>
      <c r="F665" s="221"/>
      <c r="G665" s="221"/>
      <c r="H665" s="221"/>
      <c r="I665" s="221"/>
      <c r="J665" s="221"/>
      <c r="K665" s="221"/>
      <c r="L665" s="221"/>
      <c r="M665" s="221"/>
      <c r="N665" s="221"/>
      <c r="O665" s="221"/>
      <c r="P665" s="221"/>
      <c r="Q665" s="221"/>
      <c r="R665" s="221"/>
      <c r="S665" s="221"/>
      <c r="T665" s="221"/>
      <c r="U665" s="221"/>
      <c r="V665" s="221"/>
      <c r="W665" s="221"/>
      <c r="X665" s="221"/>
    </row>
    <row r="666" spans="1:24" ht="14" x14ac:dyDescent="0.3">
      <c r="A666" s="221"/>
      <c r="B666" s="221"/>
      <c r="C666" s="221"/>
      <c r="D666" s="221"/>
      <c r="E666" s="221"/>
      <c r="F666" s="221"/>
      <c r="G666" s="221"/>
      <c r="H666" s="221"/>
      <c r="I666" s="221"/>
      <c r="J666" s="221"/>
      <c r="K666" s="221"/>
      <c r="L666" s="221"/>
      <c r="M666" s="221"/>
      <c r="N666" s="221"/>
      <c r="O666" s="221"/>
      <c r="P666" s="221"/>
      <c r="Q666" s="221"/>
      <c r="R666" s="221"/>
      <c r="S666" s="221"/>
      <c r="T666" s="221"/>
      <c r="U666" s="221"/>
      <c r="V666" s="221"/>
      <c r="W666" s="221"/>
      <c r="X666" s="221"/>
    </row>
    <row r="667" spans="1:24" ht="14" x14ac:dyDescent="0.3">
      <c r="A667" s="221"/>
      <c r="B667" s="221"/>
      <c r="C667" s="221"/>
      <c r="D667" s="221"/>
      <c r="E667" s="221"/>
      <c r="F667" s="221"/>
      <c r="G667" s="221"/>
      <c r="H667" s="221"/>
      <c r="I667" s="221"/>
      <c r="J667" s="221"/>
      <c r="K667" s="221"/>
      <c r="L667" s="221"/>
      <c r="M667" s="221"/>
      <c r="N667" s="221"/>
      <c r="O667" s="221"/>
      <c r="P667" s="221"/>
      <c r="Q667" s="221"/>
      <c r="R667" s="221"/>
      <c r="S667" s="221"/>
      <c r="T667" s="221"/>
      <c r="U667" s="221"/>
      <c r="V667" s="221"/>
      <c r="W667" s="221"/>
      <c r="X667" s="221"/>
    </row>
    <row r="668" spans="1:24" ht="14" x14ac:dyDescent="0.3">
      <c r="A668" s="221"/>
      <c r="B668" s="221"/>
      <c r="C668" s="221"/>
      <c r="D668" s="221"/>
      <c r="E668" s="221"/>
      <c r="F668" s="221"/>
      <c r="G668" s="221"/>
      <c r="H668" s="221"/>
      <c r="I668" s="221"/>
      <c r="J668" s="221"/>
      <c r="K668" s="221"/>
      <c r="L668" s="221"/>
      <c r="M668" s="221"/>
      <c r="N668" s="221"/>
      <c r="O668" s="221"/>
      <c r="P668" s="221"/>
      <c r="Q668" s="221"/>
      <c r="R668" s="221"/>
      <c r="S668" s="221"/>
      <c r="T668" s="221"/>
      <c r="U668" s="221"/>
      <c r="V668" s="221"/>
      <c r="W668" s="221"/>
      <c r="X668" s="221"/>
    </row>
    <row r="669" spans="1:24" ht="14" x14ac:dyDescent="0.3">
      <c r="A669" s="221"/>
      <c r="B669" s="221"/>
      <c r="C669" s="221"/>
      <c r="D669" s="221"/>
      <c r="E669" s="221"/>
      <c r="F669" s="221"/>
      <c r="G669" s="221"/>
      <c r="H669" s="221"/>
      <c r="I669" s="221"/>
      <c r="J669" s="221"/>
      <c r="K669" s="221"/>
      <c r="L669" s="221"/>
      <c r="M669" s="221"/>
      <c r="N669" s="221"/>
      <c r="O669" s="221"/>
      <c r="P669" s="221"/>
      <c r="Q669" s="221"/>
      <c r="R669" s="221"/>
      <c r="S669" s="221"/>
      <c r="T669" s="221"/>
      <c r="U669" s="221"/>
      <c r="V669" s="221"/>
      <c r="W669" s="221"/>
      <c r="X669" s="221"/>
    </row>
    <row r="670" spans="1:24" ht="14" x14ac:dyDescent="0.3">
      <c r="A670" s="221"/>
      <c r="B670" s="221"/>
      <c r="C670" s="221"/>
      <c r="D670" s="221"/>
      <c r="E670" s="221"/>
      <c r="F670" s="221"/>
      <c r="G670" s="221"/>
      <c r="H670" s="221"/>
      <c r="I670" s="221"/>
      <c r="J670" s="221"/>
      <c r="K670" s="221"/>
      <c r="L670" s="221"/>
      <c r="M670" s="221"/>
      <c r="N670" s="221"/>
      <c r="O670" s="221"/>
      <c r="P670" s="221"/>
      <c r="Q670" s="221"/>
      <c r="R670" s="221"/>
      <c r="S670" s="221"/>
      <c r="T670" s="221"/>
      <c r="U670" s="221"/>
      <c r="V670" s="221"/>
      <c r="W670" s="221"/>
      <c r="X670" s="221"/>
    </row>
    <row r="671" spans="1:24" ht="14" x14ac:dyDescent="0.3">
      <c r="A671" s="221"/>
      <c r="B671" s="221"/>
      <c r="C671" s="221"/>
      <c r="D671" s="221"/>
      <c r="E671" s="221"/>
      <c r="F671" s="221"/>
      <c r="G671" s="221"/>
      <c r="H671" s="221"/>
      <c r="I671" s="221"/>
      <c r="J671" s="221"/>
      <c r="K671" s="221"/>
      <c r="L671" s="221"/>
      <c r="M671" s="221"/>
      <c r="N671" s="221"/>
      <c r="O671" s="221"/>
      <c r="P671" s="221"/>
      <c r="Q671" s="221"/>
      <c r="R671" s="221"/>
      <c r="S671" s="221"/>
      <c r="T671" s="221"/>
      <c r="U671" s="221"/>
      <c r="V671" s="221"/>
      <c r="W671" s="221"/>
      <c r="X671" s="221"/>
    </row>
    <row r="672" spans="1:24" ht="14" x14ac:dyDescent="0.3">
      <c r="A672" s="221"/>
      <c r="B672" s="221"/>
      <c r="C672" s="221"/>
      <c r="D672" s="221"/>
      <c r="E672" s="221"/>
      <c r="F672" s="221"/>
      <c r="G672" s="221"/>
      <c r="H672" s="221"/>
      <c r="I672" s="221"/>
      <c r="J672" s="221"/>
      <c r="K672" s="221"/>
      <c r="L672" s="221"/>
      <c r="M672" s="221"/>
      <c r="N672" s="221"/>
      <c r="O672" s="221"/>
      <c r="P672" s="221"/>
      <c r="Q672" s="221"/>
      <c r="R672" s="221"/>
      <c r="S672" s="221"/>
      <c r="T672" s="221"/>
      <c r="U672" s="221"/>
      <c r="V672" s="221"/>
      <c r="W672" s="221"/>
      <c r="X672" s="221"/>
    </row>
    <row r="673" spans="1:24" ht="14" x14ac:dyDescent="0.3">
      <c r="A673" s="221"/>
      <c r="B673" s="221"/>
      <c r="C673" s="221"/>
      <c r="D673" s="221"/>
      <c r="E673" s="221"/>
      <c r="F673" s="221"/>
      <c r="G673" s="221"/>
      <c r="H673" s="221"/>
      <c r="I673" s="221"/>
      <c r="J673" s="221"/>
      <c r="K673" s="221"/>
      <c r="L673" s="221"/>
      <c r="M673" s="221"/>
      <c r="N673" s="221"/>
      <c r="O673" s="221"/>
      <c r="P673" s="221"/>
      <c r="Q673" s="221"/>
      <c r="R673" s="221"/>
      <c r="S673" s="221"/>
      <c r="T673" s="221"/>
      <c r="U673" s="221"/>
      <c r="V673" s="221"/>
      <c r="W673" s="221"/>
      <c r="X673" s="221"/>
    </row>
    <row r="674" spans="1:24" ht="14" x14ac:dyDescent="0.3">
      <c r="A674" s="221"/>
      <c r="B674" s="221"/>
      <c r="C674" s="221"/>
      <c r="D674" s="221"/>
      <c r="E674" s="221"/>
      <c r="F674" s="221"/>
      <c r="G674" s="221"/>
      <c r="H674" s="221"/>
      <c r="I674" s="221"/>
      <c r="J674" s="221"/>
      <c r="K674" s="221"/>
      <c r="L674" s="221"/>
      <c r="M674" s="221"/>
      <c r="N674" s="221"/>
      <c r="O674" s="221"/>
      <c r="P674" s="221"/>
      <c r="Q674" s="221"/>
      <c r="R674" s="221"/>
      <c r="S674" s="221"/>
      <c r="T674" s="221"/>
      <c r="U674" s="221"/>
      <c r="V674" s="221"/>
      <c r="W674" s="221"/>
      <c r="X674" s="221"/>
    </row>
    <row r="675" spans="1:24" ht="14" x14ac:dyDescent="0.3">
      <c r="A675" s="221"/>
      <c r="B675" s="221"/>
      <c r="C675" s="221"/>
      <c r="D675" s="221"/>
      <c r="E675" s="221"/>
      <c r="F675" s="221"/>
      <c r="G675" s="221"/>
      <c r="H675" s="221"/>
      <c r="I675" s="221"/>
      <c r="J675" s="221"/>
      <c r="K675" s="221"/>
      <c r="L675" s="221"/>
      <c r="M675" s="221"/>
      <c r="N675" s="221"/>
      <c r="O675" s="221"/>
      <c r="P675" s="221"/>
      <c r="Q675" s="221"/>
      <c r="R675" s="221"/>
      <c r="S675" s="221"/>
      <c r="T675" s="221"/>
      <c r="U675" s="221"/>
      <c r="V675" s="221"/>
      <c r="W675" s="221"/>
      <c r="X675" s="221"/>
    </row>
    <row r="676" spans="1:24" ht="14" x14ac:dyDescent="0.3">
      <c r="A676" s="221"/>
      <c r="B676" s="221"/>
      <c r="C676" s="221"/>
      <c r="D676" s="221"/>
      <c r="E676" s="221"/>
      <c r="F676" s="221"/>
      <c r="G676" s="221"/>
      <c r="H676" s="221"/>
      <c r="I676" s="221"/>
      <c r="J676" s="221"/>
      <c r="K676" s="221"/>
      <c r="L676" s="221"/>
      <c r="M676" s="221"/>
      <c r="N676" s="221"/>
      <c r="O676" s="221"/>
      <c r="P676" s="221"/>
      <c r="Q676" s="221"/>
      <c r="R676" s="221"/>
      <c r="S676" s="221"/>
      <c r="T676" s="221"/>
      <c r="U676" s="221"/>
      <c r="V676" s="221"/>
      <c r="W676" s="221"/>
      <c r="X676" s="221"/>
    </row>
    <row r="677" spans="1:24" ht="14" x14ac:dyDescent="0.3">
      <c r="A677" s="221"/>
      <c r="B677" s="221"/>
      <c r="C677" s="221"/>
      <c r="D677" s="221"/>
      <c r="E677" s="221"/>
      <c r="F677" s="221"/>
      <c r="G677" s="221"/>
      <c r="H677" s="221"/>
      <c r="I677" s="221"/>
      <c r="J677" s="221"/>
      <c r="K677" s="221"/>
      <c r="L677" s="221"/>
      <c r="M677" s="221"/>
      <c r="N677" s="221"/>
      <c r="O677" s="221"/>
      <c r="P677" s="221"/>
      <c r="Q677" s="221"/>
      <c r="R677" s="221"/>
      <c r="S677" s="221"/>
      <c r="T677" s="221"/>
      <c r="U677" s="221"/>
      <c r="V677" s="221"/>
      <c r="W677" s="221"/>
      <c r="X677" s="221"/>
    </row>
    <row r="678" spans="1:24" ht="14" x14ac:dyDescent="0.3">
      <c r="A678" s="221"/>
      <c r="B678" s="221"/>
      <c r="C678" s="221"/>
      <c r="D678" s="221"/>
      <c r="E678" s="221"/>
      <c r="F678" s="221"/>
      <c r="G678" s="221"/>
      <c r="H678" s="221"/>
      <c r="I678" s="221"/>
      <c r="J678" s="221"/>
      <c r="K678" s="221"/>
      <c r="L678" s="221"/>
      <c r="M678" s="221"/>
      <c r="N678" s="221"/>
      <c r="O678" s="221"/>
      <c r="P678" s="221"/>
      <c r="Q678" s="221"/>
      <c r="R678" s="221"/>
      <c r="S678" s="221"/>
      <c r="T678" s="221"/>
      <c r="U678" s="221"/>
      <c r="V678" s="221"/>
      <c r="W678" s="221"/>
      <c r="X678" s="221"/>
    </row>
    <row r="679" spans="1:24" ht="14" x14ac:dyDescent="0.3">
      <c r="A679" s="221"/>
      <c r="B679" s="221"/>
      <c r="C679" s="221"/>
      <c r="D679" s="221"/>
      <c r="E679" s="221"/>
      <c r="F679" s="221"/>
      <c r="G679" s="221"/>
      <c r="H679" s="221"/>
      <c r="I679" s="221"/>
      <c r="J679" s="221"/>
      <c r="K679" s="221"/>
      <c r="L679" s="221"/>
      <c r="M679" s="221"/>
      <c r="N679" s="221"/>
      <c r="O679" s="221"/>
      <c r="P679" s="221"/>
      <c r="Q679" s="221"/>
      <c r="R679" s="221"/>
      <c r="S679" s="221"/>
      <c r="T679" s="221"/>
      <c r="U679" s="221"/>
      <c r="V679" s="221"/>
      <c r="W679" s="221"/>
      <c r="X679" s="221"/>
    </row>
    <row r="680" spans="1:24" ht="14" x14ac:dyDescent="0.3">
      <c r="A680" s="221"/>
      <c r="B680" s="221"/>
      <c r="C680" s="221"/>
      <c r="D680" s="221"/>
      <c r="E680" s="221"/>
      <c r="F680" s="221"/>
      <c r="G680" s="221"/>
      <c r="H680" s="221"/>
      <c r="I680" s="221"/>
      <c r="J680" s="221"/>
      <c r="K680" s="221"/>
      <c r="L680" s="221"/>
      <c r="M680" s="221"/>
      <c r="N680" s="221"/>
      <c r="O680" s="221"/>
      <c r="P680" s="221"/>
      <c r="Q680" s="221"/>
      <c r="R680" s="221"/>
      <c r="S680" s="221"/>
      <c r="T680" s="221"/>
      <c r="U680" s="221"/>
      <c r="V680" s="221"/>
      <c r="W680" s="221"/>
      <c r="X680" s="221"/>
    </row>
    <row r="681" spans="1:24" ht="14" x14ac:dyDescent="0.3">
      <c r="A681" s="221"/>
      <c r="B681" s="221"/>
      <c r="C681" s="221"/>
      <c r="D681" s="221"/>
      <c r="E681" s="221"/>
      <c r="F681" s="221"/>
      <c r="G681" s="221"/>
      <c r="H681" s="221"/>
      <c r="I681" s="221"/>
      <c r="J681" s="221"/>
      <c r="K681" s="221"/>
      <c r="L681" s="221"/>
      <c r="M681" s="221"/>
      <c r="N681" s="221"/>
      <c r="O681" s="221"/>
      <c r="P681" s="221"/>
      <c r="Q681" s="221"/>
      <c r="R681" s="221"/>
      <c r="S681" s="221"/>
      <c r="T681" s="221"/>
      <c r="U681" s="221"/>
      <c r="V681" s="221"/>
      <c r="W681" s="221"/>
      <c r="X681" s="221"/>
    </row>
    <row r="682" spans="1:24" ht="14" x14ac:dyDescent="0.3">
      <c r="A682" s="221"/>
      <c r="B682" s="221"/>
      <c r="C682" s="221"/>
      <c r="D682" s="221"/>
      <c r="E682" s="221"/>
      <c r="F682" s="221"/>
      <c r="G682" s="221"/>
      <c r="H682" s="221"/>
      <c r="I682" s="221"/>
      <c r="J682" s="221"/>
      <c r="K682" s="221"/>
      <c r="L682" s="221"/>
      <c r="M682" s="221"/>
      <c r="N682" s="221"/>
      <c r="O682" s="221"/>
      <c r="P682" s="221"/>
      <c r="Q682" s="221"/>
      <c r="R682" s="221"/>
      <c r="S682" s="221"/>
      <c r="T682" s="221"/>
      <c r="U682" s="221"/>
      <c r="V682" s="221"/>
      <c r="W682" s="221"/>
      <c r="X682" s="221"/>
    </row>
    <row r="683" spans="1:24" ht="14" x14ac:dyDescent="0.3">
      <c r="A683" s="221"/>
      <c r="B683" s="221"/>
      <c r="C683" s="221"/>
      <c r="D683" s="221"/>
      <c r="E683" s="221"/>
      <c r="F683" s="221"/>
      <c r="G683" s="221"/>
      <c r="H683" s="221"/>
      <c r="I683" s="221"/>
      <c r="J683" s="221"/>
      <c r="K683" s="221"/>
      <c r="L683" s="221"/>
      <c r="M683" s="221"/>
      <c r="N683" s="221"/>
      <c r="O683" s="221"/>
      <c r="P683" s="221"/>
      <c r="Q683" s="221"/>
      <c r="R683" s="221"/>
      <c r="S683" s="221"/>
      <c r="T683" s="221"/>
      <c r="U683" s="221"/>
      <c r="V683" s="221"/>
      <c r="W683" s="221"/>
      <c r="X683" s="221"/>
    </row>
    <row r="684" spans="1:24" ht="14" x14ac:dyDescent="0.3">
      <c r="A684" s="221"/>
      <c r="B684" s="221"/>
      <c r="C684" s="221"/>
      <c r="D684" s="221"/>
      <c r="E684" s="221"/>
      <c r="F684" s="221"/>
      <c r="G684" s="221"/>
      <c r="H684" s="221"/>
      <c r="I684" s="221"/>
      <c r="J684" s="221"/>
      <c r="K684" s="221"/>
      <c r="L684" s="221"/>
      <c r="M684" s="221"/>
      <c r="N684" s="221"/>
      <c r="O684" s="221"/>
      <c r="P684" s="221"/>
      <c r="Q684" s="221"/>
      <c r="R684" s="221"/>
      <c r="S684" s="221"/>
      <c r="T684" s="221"/>
      <c r="U684" s="221"/>
      <c r="V684" s="221"/>
      <c r="W684" s="221"/>
      <c r="X684" s="221"/>
    </row>
    <row r="685" spans="1:24" ht="14" x14ac:dyDescent="0.3">
      <c r="A685" s="221"/>
      <c r="B685" s="221"/>
      <c r="C685" s="221"/>
      <c r="D685" s="221"/>
      <c r="E685" s="221"/>
      <c r="F685" s="221"/>
      <c r="G685" s="221"/>
      <c r="H685" s="221"/>
      <c r="I685" s="221"/>
      <c r="J685" s="221"/>
      <c r="K685" s="221"/>
      <c r="L685" s="221"/>
      <c r="M685" s="221"/>
      <c r="N685" s="221"/>
      <c r="O685" s="221"/>
      <c r="P685" s="221"/>
      <c r="Q685" s="221"/>
      <c r="R685" s="221"/>
      <c r="S685" s="221"/>
      <c r="T685" s="221"/>
      <c r="U685" s="221"/>
      <c r="V685" s="221"/>
      <c r="W685" s="221"/>
      <c r="X685" s="221"/>
    </row>
    <row r="686" spans="1:24" ht="14" x14ac:dyDescent="0.3">
      <c r="A686" s="221"/>
      <c r="B686" s="221"/>
      <c r="C686" s="221"/>
      <c r="D686" s="221"/>
      <c r="E686" s="221"/>
      <c r="F686" s="221"/>
      <c r="G686" s="221"/>
      <c r="H686" s="221"/>
      <c r="I686" s="221"/>
      <c r="J686" s="221"/>
      <c r="K686" s="221"/>
      <c r="L686" s="221"/>
      <c r="M686" s="221"/>
      <c r="N686" s="221"/>
      <c r="O686" s="221"/>
      <c r="P686" s="221"/>
      <c r="Q686" s="221"/>
      <c r="R686" s="221"/>
      <c r="S686" s="221"/>
      <c r="T686" s="221"/>
      <c r="U686" s="221"/>
      <c r="V686" s="221"/>
      <c r="W686" s="221"/>
      <c r="X686" s="221"/>
    </row>
    <row r="687" spans="1:24" ht="14" x14ac:dyDescent="0.3">
      <c r="A687" s="221"/>
      <c r="B687" s="221"/>
      <c r="C687" s="221"/>
      <c r="D687" s="221"/>
      <c r="E687" s="221"/>
      <c r="F687" s="221"/>
      <c r="G687" s="221"/>
      <c r="H687" s="221"/>
      <c r="I687" s="221"/>
      <c r="J687" s="221"/>
      <c r="K687" s="221"/>
      <c r="L687" s="221"/>
      <c r="M687" s="221"/>
      <c r="N687" s="221"/>
      <c r="O687" s="221"/>
      <c r="P687" s="221"/>
      <c r="Q687" s="221"/>
      <c r="R687" s="221"/>
      <c r="S687" s="221"/>
      <c r="T687" s="221"/>
      <c r="U687" s="221"/>
      <c r="V687" s="221"/>
      <c r="W687" s="221"/>
      <c r="X687" s="221"/>
    </row>
    <row r="688" spans="1:24" ht="14" x14ac:dyDescent="0.3">
      <c r="A688" s="221"/>
      <c r="B688" s="221"/>
      <c r="C688" s="221"/>
      <c r="D688" s="221"/>
      <c r="E688" s="221"/>
      <c r="F688" s="221"/>
      <c r="G688" s="221"/>
      <c r="H688" s="221"/>
      <c r="I688" s="221"/>
      <c r="J688" s="221"/>
      <c r="K688" s="221"/>
      <c r="L688" s="221"/>
      <c r="M688" s="221"/>
      <c r="N688" s="221"/>
      <c r="O688" s="221"/>
      <c r="P688" s="221"/>
      <c r="Q688" s="221"/>
      <c r="R688" s="221"/>
      <c r="S688" s="221"/>
      <c r="T688" s="221"/>
      <c r="U688" s="221"/>
      <c r="V688" s="221"/>
      <c r="W688" s="221"/>
      <c r="X688" s="221"/>
    </row>
    <row r="689" spans="1:24" ht="14" x14ac:dyDescent="0.3">
      <c r="A689" s="221"/>
      <c r="B689" s="221"/>
      <c r="C689" s="221"/>
      <c r="D689" s="221"/>
      <c r="E689" s="221"/>
      <c r="F689" s="221"/>
      <c r="G689" s="221"/>
      <c r="H689" s="221"/>
      <c r="I689" s="221"/>
      <c r="J689" s="221"/>
      <c r="K689" s="221"/>
      <c r="L689" s="221"/>
      <c r="M689" s="221"/>
      <c r="N689" s="221"/>
      <c r="O689" s="221"/>
      <c r="P689" s="221"/>
      <c r="Q689" s="221"/>
      <c r="R689" s="221"/>
      <c r="S689" s="221"/>
      <c r="T689" s="221"/>
      <c r="U689" s="221"/>
      <c r="V689" s="221"/>
      <c r="W689" s="221"/>
      <c r="X689" s="221"/>
    </row>
    <row r="690" spans="1:24" ht="14" x14ac:dyDescent="0.3">
      <c r="A690" s="221"/>
      <c r="B690" s="221"/>
      <c r="C690" s="221"/>
      <c r="D690" s="221"/>
      <c r="E690" s="221"/>
      <c r="F690" s="221"/>
      <c r="G690" s="221"/>
      <c r="H690" s="221"/>
      <c r="I690" s="221"/>
      <c r="J690" s="221"/>
      <c r="K690" s="221"/>
      <c r="L690" s="221"/>
      <c r="M690" s="221"/>
      <c r="N690" s="221"/>
      <c r="O690" s="221"/>
      <c r="P690" s="221"/>
      <c r="Q690" s="221"/>
      <c r="R690" s="221"/>
      <c r="S690" s="221"/>
      <c r="T690" s="221"/>
      <c r="U690" s="221"/>
      <c r="V690" s="221"/>
      <c r="W690" s="221"/>
      <c r="X690" s="221"/>
    </row>
    <row r="691" spans="1:24" ht="14" x14ac:dyDescent="0.3">
      <c r="A691" s="221"/>
      <c r="B691" s="221"/>
      <c r="C691" s="221"/>
      <c r="D691" s="221"/>
      <c r="E691" s="221"/>
      <c r="F691" s="221"/>
      <c r="G691" s="221"/>
      <c r="H691" s="221"/>
      <c r="I691" s="221"/>
      <c r="J691" s="221"/>
      <c r="K691" s="221"/>
      <c r="L691" s="221"/>
      <c r="M691" s="221"/>
      <c r="N691" s="221"/>
      <c r="O691" s="221"/>
      <c r="P691" s="221"/>
      <c r="Q691" s="221"/>
      <c r="R691" s="221"/>
      <c r="S691" s="221"/>
      <c r="T691" s="221"/>
      <c r="U691" s="221"/>
      <c r="V691" s="221"/>
      <c r="W691" s="221"/>
      <c r="X691" s="221"/>
    </row>
    <row r="692" spans="1:24" ht="14" x14ac:dyDescent="0.3">
      <c r="A692" s="221"/>
      <c r="B692" s="221"/>
      <c r="C692" s="221"/>
      <c r="D692" s="221"/>
      <c r="E692" s="221"/>
      <c r="F692" s="221"/>
      <c r="G692" s="221"/>
      <c r="H692" s="221"/>
      <c r="I692" s="221"/>
      <c r="J692" s="221"/>
      <c r="K692" s="221"/>
      <c r="L692" s="221"/>
      <c r="M692" s="221"/>
      <c r="N692" s="221"/>
      <c r="O692" s="221"/>
      <c r="P692" s="221"/>
      <c r="Q692" s="221"/>
      <c r="R692" s="221"/>
      <c r="S692" s="221"/>
      <c r="T692" s="221"/>
      <c r="U692" s="221"/>
      <c r="V692" s="221"/>
      <c r="W692" s="221"/>
      <c r="X692" s="221"/>
    </row>
    <row r="693" spans="1:24" ht="14" x14ac:dyDescent="0.3">
      <c r="A693" s="221"/>
      <c r="B693" s="221"/>
      <c r="C693" s="221"/>
      <c r="D693" s="221"/>
      <c r="E693" s="221"/>
      <c r="F693" s="221"/>
      <c r="G693" s="221"/>
      <c r="H693" s="221"/>
      <c r="I693" s="221"/>
      <c r="J693" s="221"/>
      <c r="K693" s="221"/>
      <c r="L693" s="221"/>
      <c r="M693" s="221"/>
      <c r="N693" s="221"/>
      <c r="O693" s="221"/>
      <c r="P693" s="221"/>
      <c r="Q693" s="221"/>
      <c r="R693" s="221"/>
      <c r="S693" s="221"/>
      <c r="T693" s="221"/>
      <c r="U693" s="221"/>
      <c r="V693" s="221"/>
      <c r="W693" s="221"/>
      <c r="X693" s="221"/>
    </row>
    <row r="694" spans="1:24" ht="14" x14ac:dyDescent="0.3">
      <c r="A694" s="221"/>
      <c r="B694" s="221"/>
      <c r="C694" s="221"/>
      <c r="D694" s="221"/>
      <c r="E694" s="221"/>
      <c r="F694" s="221"/>
      <c r="G694" s="221"/>
      <c r="H694" s="221"/>
      <c r="I694" s="221"/>
      <c r="J694" s="221"/>
      <c r="K694" s="221"/>
      <c r="L694" s="221"/>
      <c r="M694" s="221"/>
      <c r="N694" s="221"/>
      <c r="O694" s="221"/>
      <c r="P694" s="221"/>
      <c r="Q694" s="221"/>
      <c r="R694" s="221"/>
      <c r="S694" s="221"/>
      <c r="T694" s="221"/>
      <c r="U694" s="221"/>
      <c r="V694" s="221"/>
      <c r="W694" s="221"/>
      <c r="X694" s="221"/>
    </row>
    <row r="695" spans="1:24" ht="14" x14ac:dyDescent="0.3">
      <c r="A695" s="221"/>
      <c r="B695" s="221"/>
      <c r="C695" s="221"/>
      <c r="D695" s="221"/>
      <c r="E695" s="221"/>
      <c r="F695" s="221"/>
      <c r="G695" s="221"/>
      <c r="H695" s="221"/>
      <c r="I695" s="221"/>
      <c r="J695" s="221"/>
      <c r="K695" s="221"/>
      <c r="L695" s="221"/>
      <c r="M695" s="221"/>
      <c r="N695" s="221"/>
      <c r="O695" s="221"/>
      <c r="P695" s="221"/>
      <c r="Q695" s="221"/>
      <c r="R695" s="221"/>
      <c r="S695" s="221"/>
      <c r="T695" s="221"/>
      <c r="U695" s="221"/>
      <c r="V695" s="221"/>
      <c r="W695" s="221"/>
      <c r="X695" s="221"/>
    </row>
    <row r="696" spans="1:24" ht="14" x14ac:dyDescent="0.3">
      <c r="A696" s="221"/>
      <c r="B696" s="221"/>
      <c r="C696" s="221"/>
      <c r="D696" s="221"/>
      <c r="E696" s="221"/>
      <c r="F696" s="221"/>
      <c r="G696" s="221"/>
      <c r="H696" s="221"/>
      <c r="I696" s="221"/>
      <c r="J696" s="221"/>
      <c r="K696" s="221"/>
      <c r="L696" s="221"/>
      <c r="M696" s="221"/>
      <c r="N696" s="221"/>
      <c r="O696" s="221"/>
      <c r="P696" s="221"/>
      <c r="Q696" s="221"/>
      <c r="R696" s="221"/>
      <c r="S696" s="221"/>
      <c r="T696" s="221"/>
      <c r="U696" s="221"/>
      <c r="V696" s="221"/>
      <c r="W696" s="221"/>
      <c r="X696" s="221"/>
    </row>
    <row r="697" spans="1:24" ht="14" x14ac:dyDescent="0.3">
      <c r="A697" s="221"/>
      <c r="B697" s="221"/>
      <c r="C697" s="221"/>
      <c r="D697" s="221"/>
      <c r="E697" s="221"/>
      <c r="F697" s="221"/>
      <c r="G697" s="221"/>
      <c r="H697" s="221"/>
      <c r="I697" s="221"/>
      <c r="J697" s="221"/>
      <c r="K697" s="221"/>
      <c r="L697" s="221"/>
      <c r="M697" s="221"/>
      <c r="N697" s="221"/>
      <c r="O697" s="221"/>
      <c r="P697" s="221"/>
      <c r="Q697" s="221"/>
      <c r="R697" s="221"/>
      <c r="S697" s="221"/>
      <c r="T697" s="221"/>
      <c r="U697" s="221"/>
      <c r="V697" s="221"/>
      <c r="W697" s="221"/>
      <c r="X697" s="221"/>
    </row>
    <row r="698" spans="1:24" ht="14" x14ac:dyDescent="0.3">
      <c r="A698" s="221"/>
      <c r="B698" s="221"/>
      <c r="C698" s="221"/>
      <c r="D698" s="221"/>
      <c r="E698" s="221"/>
      <c r="F698" s="221"/>
      <c r="G698" s="221"/>
      <c r="H698" s="221"/>
      <c r="I698" s="221"/>
      <c r="J698" s="221"/>
      <c r="K698" s="221"/>
      <c r="L698" s="221"/>
      <c r="M698" s="221"/>
      <c r="N698" s="221"/>
      <c r="O698" s="221"/>
      <c r="P698" s="221"/>
      <c r="Q698" s="221"/>
      <c r="R698" s="221"/>
      <c r="S698" s="221"/>
      <c r="T698" s="221"/>
      <c r="U698" s="221"/>
      <c r="V698" s="221"/>
      <c r="W698" s="221"/>
      <c r="X698" s="221"/>
    </row>
    <row r="699" spans="1:24" ht="14" x14ac:dyDescent="0.3">
      <c r="A699" s="221"/>
      <c r="B699" s="221"/>
      <c r="C699" s="221"/>
      <c r="D699" s="221"/>
      <c r="E699" s="221"/>
      <c r="F699" s="221"/>
      <c r="G699" s="221"/>
      <c r="H699" s="221"/>
      <c r="I699" s="221"/>
      <c r="J699" s="221"/>
      <c r="K699" s="221"/>
      <c r="L699" s="221"/>
      <c r="M699" s="221"/>
      <c r="N699" s="221"/>
      <c r="O699" s="221"/>
      <c r="P699" s="221"/>
      <c r="Q699" s="221"/>
      <c r="R699" s="221"/>
      <c r="S699" s="221"/>
      <c r="T699" s="221"/>
      <c r="U699" s="221"/>
      <c r="V699" s="221"/>
      <c r="W699" s="221"/>
      <c r="X699" s="221"/>
    </row>
    <row r="700" spans="1:24" ht="14" x14ac:dyDescent="0.3">
      <c r="A700" s="221"/>
      <c r="B700" s="221"/>
      <c r="C700" s="221"/>
      <c r="D700" s="221"/>
      <c r="E700" s="221"/>
      <c r="F700" s="221"/>
      <c r="G700" s="221"/>
      <c r="H700" s="221"/>
      <c r="I700" s="221"/>
      <c r="J700" s="221"/>
      <c r="K700" s="221"/>
      <c r="L700" s="221"/>
      <c r="M700" s="221"/>
      <c r="N700" s="221"/>
      <c r="O700" s="221"/>
      <c r="P700" s="221"/>
      <c r="Q700" s="221"/>
      <c r="R700" s="221"/>
      <c r="S700" s="221"/>
      <c r="T700" s="221"/>
      <c r="U700" s="221"/>
      <c r="V700" s="221"/>
      <c r="W700" s="221"/>
      <c r="X700" s="221"/>
    </row>
    <row r="701" spans="1:24" ht="14" x14ac:dyDescent="0.3">
      <c r="A701" s="221"/>
      <c r="B701" s="221"/>
      <c r="C701" s="221"/>
      <c r="D701" s="221"/>
      <c r="E701" s="221"/>
      <c r="F701" s="221"/>
      <c r="G701" s="221"/>
      <c r="H701" s="221"/>
      <c r="I701" s="221"/>
      <c r="J701" s="221"/>
      <c r="K701" s="221"/>
      <c r="L701" s="221"/>
      <c r="M701" s="221"/>
      <c r="N701" s="221"/>
      <c r="O701" s="221"/>
      <c r="P701" s="221"/>
      <c r="Q701" s="221"/>
      <c r="R701" s="221"/>
      <c r="S701" s="221"/>
      <c r="T701" s="221"/>
      <c r="U701" s="221"/>
      <c r="V701" s="221"/>
      <c r="W701" s="221"/>
      <c r="X701" s="221"/>
    </row>
    <row r="702" spans="1:24" ht="14" x14ac:dyDescent="0.3">
      <c r="A702" s="221"/>
      <c r="B702" s="221"/>
      <c r="C702" s="221"/>
      <c r="D702" s="221"/>
      <c r="E702" s="221"/>
      <c r="F702" s="221"/>
      <c r="G702" s="221"/>
      <c r="H702" s="221"/>
      <c r="I702" s="221"/>
      <c r="J702" s="221"/>
      <c r="K702" s="221"/>
      <c r="L702" s="221"/>
      <c r="M702" s="221"/>
      <c r="N702" s="221"/>
      <c r="O702" s="221"/>
      <c r="P702" s="221"/>
      <c r="Q702" s="221"/>
      <c r="R702" s="221"/>
      <c r="S702" s="221"/>
      <c r="T702" s="221"/>
      <c r="U702" s="221"/>
      <c r="V702" s="221"/>
      <c r="W702" s="221"/>
      <c r="X702" s="221"/>
    </row>
    <row r="703" spans="1:24" ht="14" x14ac:dyDescent="0.3">
      <c r="A703" s="221"/>
      <c r="B703" s="221"/>
      <c r="C703" s="221"/>
      <c r="D703" s="221"/>
      <c r="E703" s="221"/>
      <c r="F703" s="221"/>
      <c r="G703" s="221"/>
      <c r="H703" s="221"/>
      <c r="I703" s="221"/>
      <c r="J703" s="221"/>
      <c r="K703" s="221"/>
      <c r="L703" s="221"/>
      <c r="M703" s="221"/>
      <c r="N703" s="221"/>
      <c r="O703" s="221"/>
      <c r="P703" s="221"/>
      <c r="Q703" s="221"/>
      <c r="R703" s="221"/>
      <c r="S703" s="221"/>
      <c r="T703" s="221"/>
      <c r="U703" s="221"/>
      <c r="V703" s="221"/>
      <c r="W703" s="221"/>
      <c r="X703" s="221"/>
    </row>
    <row r="704" spans="1:24" ht="14" x14ac:dyDescent="0.3">
      <c r="A704" s="221"/>
      <c r="B704" s="221"/>
      <c r="C704" s="221"/>
      <c r="D704" s="221"/>
      <c r="E704" s="221"/>
      <c r="F704" s="221"/>
      <c r="G704" s="221"/>
      <c r="H704" s="221"/>
      <c r="I704" s="221"/>
      <c r="J704" s="221"/>
      <c r="K704" s="221"/>
      <c r="L704" s="221"/>
      <c r="M704" s="221"/>
      <c r="N704" s="221"/>
      <c r="O704" s="221"/>
      <c r="P704" s="221"/>
      <c r="Q704" s="221"/>
      <c r="R704" s="221"/>
      <c r="S704" s="221"/>
      <c r="T704" s="221"/>
      <c r="U704" s="221"/>
      <c r="V704" s="221"/>
      <c r="W704" s="221"/>
      <c r="X704" s="221"/>
    </row>
    <row r="705" spans="1:24" ht="14" x14ac:dyDescent="0.3">
      <c r="A705" s="221"/>
      <c r="B705" s="221"/>
      <c r="C705" s="221"/>
      <c r="D705" s="221"/>
      <c r="E705" s="221"/>
      <c r="F705" s="221"/>
      <c r="G705" s="221"/>
      <c r="H705" s="221"/>
      <c r="I705" s="221"/>
      <c r="J705" s="221"/>
      <c r="K705" s="221"/>
      <c r="L705" s="221"/>
      <c r="M705" s="221"/>
      <c r="N705" s="221"/>
      <c r="O705" s="221"/>
      <c r="P705" s="221"/>
      <c r="Q705" s="221"/>
      <c r="R705" s="221"/>
      <c r="S705" s="221"/>
      <c r="T705" s="221"/>
      <c r="U705" s="221"/>
      <c r="V705" s="221"/>
      <c r="W705" s="221"/>
      <c r="X705" s="221"/>
    </row>
    <row r="706" spans="1:24" ht="14" x14ac:dyDescent="0.3">
      <c r="A706" s="221"/>
      <c r="B706" s="221"/>
      <c r="C706" s="221"/>
      <c r="D706" s="221"/>
      <c r="E706" s="221"/>
      <c r="F706" s="221"/>
      <c r="G706" s="221"/>
      <c r="H706" s="221"/>
      <c r="I706" s="221"/>
      <c r="J706" s="221"/>
      <c r="K706" s="221"/>
      <c r="L706" s="221"/>
      <c r="M706" s="221"/>
      <c r="N706" s="221"/>
      <c r="O706" s="221"/>
      <c r="P706" s="221"/>
      <c r="Q706" s="221"/>
      <c r="R706" s="221"/>
      <c r="S706" s="221"/>
      <c r="T706" s="221"/>
      <c r="U706" s="221"/>
      <c r="V706" s="221"/>
      <c r="W706" s="221"/>
      <c r="X706" s="221"/>
    </row>
    <row r="707" spans="1:24" ht="14" x14ac:dyDescent="0.3">
      <c r="A707" s="221"/>
      <c r="B707" s="221"/>
      <c r="C707" s="221"/>
      <c r="D707" s="221"/>
      <c r="E707" s="221"/>
      <c r="F707" s="221"/>
      <c r="G707" s="221"/>
      <c r="H707" s="221"/>
      <c r="I707" s="221"/>
      <c r="J707" s="221"/>
      <c r="K707" s="221"/>
      <c r="L707" s="221"/>
      <c r="M707" s="221"/>
      <c r="N707" s="221"/>
      <c r="O707" s="221"/>
      <c r="P707" s="221"/>
      <c r="Q707" s="221"/>
      <c r="R707" s="221"/>
      <c r="S707" s="221"/>
      <c r="T707" s="221"/>
      <c r="U707" s="221"/>
      <c r="V707" s="221"/>
      <c r="W707" s="221"/>
      <c r="X707" s="221"/>
    </row>
    <row r="708" spans="1:24" ht="14" x14ac:dyDescent="0.3">
      <c r="A708" s="221"/>
      <c r="B708" s="221"/>
      <c r="C708" s="221"/>
      <c r="D708" s="221"/>
      <c r="E708" s="221"/>
      <c r="F708" s="221"/>
      <c r="G708" s="221"/>
      <c r="H708" s="221"/>
      <c r="I708" s="221"/>
      <c r="J708" s="221"/>
      <c r="K708" s="221"/>
      <c r="L708" s="221"/>
      <c r="M708" s="221"/>
      <c r="N708" s="221"/>
      <c r="O708" s="221"/>
      <c r="P708" s="221"/>
      <c r="Q708" s="221"/>
      <c r="R708" s="221"/>
      <c r="S708" s="221"/>
      <c r="T708" s="221"/>
      <c r="U708" s="221"/>
      <c r="V708" s="221"/>
      <c r="W708" s="221"/>
      <c r="X708" s="221"/>
    </row>
    <row r="709" spans="1:24" ht="14" x14ac:dyDescent="0.3">
      <c r="A709" s="221"/>
      <c r="B709" s="221"/>
      <c r="C709" s="221"/>
      <c r="D709" s="221"/>
      <c r="E709" s="221"/>
      <c r="F709" s="221"/>
      <c r="G709" s="221"/>
      <c r="H709" s="221"/>
      <c r="I709" s="221"/>
      <c r="J709" s="221"/>
      <c r="K709" s="221"/>
      <c r="L709" s="221"/>
      <c r="M709" s="221"/>
      <c r="N709" s="221"/>
      <c r="O709" s="221"/>
      <c r="P709" s="221"/>
      <c r="Q709" s="221"/>
      <c r="R709" s="221"/>
      <c r="S709" s="221"/>
      <c r="T709" s="221"/>
      <c r="U709" s="221"/>
      <c r="V709" s="221"/>
      <c r="W709" s="221"/>
      <c r="X709" s="221"/>
    </row>
    <row r="710" spans="1:24" ht="14" x14ac:dyDescent="0.3">
      <c r="A710" s="221"/>
      <c r="B710" s="221"/>
      <c r="C710" s="221"/>
      <c r="D710" s="221"/>
      <c r="E710" s="221"/>
      <c r="F710" s="221"/>
      <c r="G710" s="221"/>
      <c r="H710" s="221"/>
      <c r="I710" s="221"/>
      <c r="J710" s="221"/>
      <c r="K710" s="221"/>
      <c r="L710" s="221"/>
      <c r="M710" s="221"/>
      <c r="N710" s="221"/>
      <c r="O710" s="221"/>
      <c r="P710" s="221"/>
      <c r="Q710" s="221"/>
      <c r="R710" s="221"/>
      <c r="S710" s="221"/>
      <c r="T710" s="221"/>
      <c r="U710" s="221"/>
      <c r="V710" s="221"/>
      <c r="W710" s="221"/>
      <c r="X710" s="221"/>
    </row>
    <row r="711" spans="1:24" ht="14" x14ac:dyDescent="0.3">
      <c r="A711" s="221"/>
      <c r="B711" s="221"/>
      <c r="C711" s="221"/>
      <c r="D711" s="221"/>
      <c r="E711" s="221"/>
      <c r="F711" s="221"/>
      <c r="G711" s="221"/>
      <c r="H711" s="221"/>
      <c r="I711" s="221"/>
      <c r="J711" s="221"/>
      <c r="K711" s="221"/>
      <c r="L711" s="221"/>
      <c r="M711" s="221"/>
      <c r="N711" s="221"/>
      <c r="O711" s="221"/>
      <c r="P711" s="221"/>
      <c r="Q711" s="221"/>
      <c r="R711" s="221"/>
      <c r="S711" s="221"/>
      <c r="T711" s="221"/>
      <c r="U711" s="221"/>
      <c r="V711" s="221"/>
      <c r="W711" s="221"/>
      <c r="X711" s="221"/>
    </row>
    <row r="712" spans="1:24" ht="14" x14ac:dyDescent="0.3">
      <c r="A712" s="221"/>
      <c r="B712" s="221"/>
      <c r="C712" s="221"/>
      <c r="D712" s="221"/>
      <c r="E712" s="221"/>
      <c r="F712" s="221"/>
      <c r="G712" s="221"/>
      <c r="H712" s="221"/>
      <c r="I712" s="221"/>
      <c r="J712" s="221"/>
      <c r="K712" s="221"/>
      <c r="L712" s="221"/>
      <c r="M712" s="221"/>
      <c r="N712" s="221"/>
      <c r="O712" s="221"/>
      <c r="P712" s="221"/>
      <c r="Q712" s="221"/>
      <c r="R712" s="221"/>
      <c r="S712" s="221"/>
      <c r="T712" s="221"/>
      <c r="U712" s="221"/>
      <c r="V712" s="221"/>
      <c r="W712" s="221"/>
      <c r="X712" s="221"/>
    </row>
    <row r="713" spans="1:24" ht="14" x14ac:dyDescent="0.3">
      <c r="A713" s="221"/>
      <c r="B713" s="221"/>
      <c r="C713" s="221"/>
      <c r="D713" s="221"/>
      <c r="E713" s="221"/>
      <c r="F713" s="221"/>
      <c r="G713" s="221"/>
      <c r="H713" s="221"/>
      <c r="I713" s="221"/>
      <c r="J713" s="221"/>
      <c r="K713" s="221"/>
      <c r="L713" s="221"/>
      <c r="M713" s="221"/>
      <c r="N713" s="221"/>
      <c r="O713" s="221"/>
      <c r="P713" s="221"/>
      <c r="Q713" s="221"/>
      <c r="R713" s="221"/>
      <c r="S713" s="221"/>
      <c r="T713" s="221"/>
      <c r="U713" s="221"/>
      <c r="V713" s="221"/>
      <c r="W713" s="221"/>
      <c r="X713" s="221"/>
    </row>
    <row r="714" spans="1:24" ht="14" x14ac:dyDescent="0.3">
      <c r="A714" s="221"/>
      <c r="B714" s="221"/>
      <c r="C714" s="221"/>
      <c r="D714" s="221"/>
      <c r="E714" s="221"/>
      <c r="F714" s="221"/>
      <c r="G714" s="221"/>
      <c r="H714" s="221"/>
      <c r="I714" s="221"/>
      <c r="J714" s="221"/>
      <c r="K714" s="221"/>
      <c r="L714" s="221"/>
      <c r="M714" s="221"/>
      <c r="N714" s="221"/>
      <c r="O714" s="221"/>
      <c r="P714" s="221"/>
      <c r="Q714" s="221"/>
      <c r="R714" s="221"/>
      <c r="S714" s="221"/>
      <c r="T714" s="221"/>
      <c r="U714" s="221"/>
      <c r="V714" s="221"/>
      <c r="W714" s="221"/>
      <c r="X714" s="221"/>
    </row>
    <row r="715" spans="1:24" ht="14" x14ac:dyDescent="0.3">
      <c r="A715" s="221"/>
      <c r="B715" s="221"/>
      <c r="C715" s="221"/>
      <c r="D715" s="221"/>
      <c r="E715" s="221"/>
      <c r="F715" s="221"/>
      <c r="G715" s="221"/>
      <c r="H715" s="221"/>
      <c r="I715" s="221"/>
      <c r="J715" s="221"/>
      <c r="K715" s="221"/>
      <c r="L715" s="221"/>
      <c r="M715" s="221"/>
      <c r="N715" s="221"/>
      <c r="O715" s="221"/>
      <c r="P715" s="221"/>
      <c r="Q715" s="221"/>
      <c r="R715" s="221"/>
      <c r="S715" s="221"/>
      <c r="T715" s="221"/>
      <c r="U715" s="221"/>
      <c r="V715" s="221"/>
      <c r="W715" s="221"/>
      <c r="X715" s="221"/>
    </row>
    <row r="716" spans="1:24" ht="14" x14ac:dyDescent="0.3">
      <c r="A716" s="221"/>
      <c r="B716" s="221"/>
      <c r="C716" s="221"/>
      <c r="D716" s="221"/>
      <c r="E716" s="221"/>
      <c r="F716" s="221"/>
      <c r="G716" s="221"/>
      <c r="H716" s="221"/>
      <c r="I716" s="221"/>
      <c r="J716" s="221"/>
      <c r="K716" s="221"/>
      <c r="L716" s="221"/>
      <c r="M716" s="221"/>
      <c r="N716" s="221"/>
      <c r="O716" s="221"/>
      <c r="P716" s="221"/>
      <c r="Q716" s="221"/>
      <c r="R716" s="221"/>
      <c r="S716" s="221"/>
      <c r="T716" s="221"/>
      <c r="U716" s="221"/>
      <c r="V716" s="221"/>
      <c r="W716" s="221"/>
      <c r="X716" s="221"/>
    </row>
    <row r="717" spans="1:24" ht="14" x14ac:dyDescent="0.3">
      <c r="A717" s="221"/>
      <c r="B717" s="221"/>
      <c r="C717" s="221"/>
      <c r="D717" s="221"/>
      <c r="E717" s="221"/>
      <c r="F717" s="221"/>
      <c r="G717" s="221"/>
      <c r="H717" s="221"/>
      <c r="I717" s="221"/>
      <c r="J717" s="221"/>
      <c r="K717" s="221"/>
      <c r="L717" s="221"/>
      <c r="M717" s="221"/>
      <c r="N717" s="221"/>
      <c r="O717" s="221"/>
      <c r="P717" s="221"/>
      <c r="Q717" s="221"/>
      <c r="R717" s="221"/>
      <c r="S717" s="221"/>
      <c r="T717" s="221"/>
      <c r="U717" s="221"/>
      <c r="V717" s="221"/>
      <c r="W717" s="221"/>
      <c r="X717" s="221"/>
    </row>
    <row r="718" spans="1:24" ht="14" x14ac:dyDescent="0.3">
      <c r="A718" s="221"/>
      <c r="B718" s="221"/>
      <c r="C718" s="221"/>
      <c r="D718" s="221"/>
      <c r="E718" s="221"/>
      <c r="F718" s="221"/>
      <c r="G718" s="221"/>
      <c r="H718" s="221"/>
      <c r="I718" s="221"/>
      <c r="J718" s="221"/>
      <c r="K718" s="221"/>
      <c r="L718" s="221"/>
      <c r="M718" s="221"/>
      <c r="N718" s="221"/>
      <c r="O718" s="221"/>
      <c r="P718" s="221"/>
      <c r="Q718" s="221"/>
      <c r="R718" s="221"/>
      <c r="S718" s="221"/>
      <c r="T718" s="221"/>
      <c r="U718" s="221"/>
      <c r="V718" s="221"/>
      <c r="W718" s="221"/>
      <c r="X718" s="221"/>
    </row>
    <row r="719" spans="1:24" ht="14" x14ac:dyDescent="0.3">
      <c r="A719" s="221"/>
      <c r="B719" s="221"/>
      <c r="C719" s="221"/>
      <c r="D719" s="221"/>
      <c r="E719" s="221"/>
      <c r="F719" s="221"/>
      <c r="G719" s="221"/>
      <c r="H719" s="221"/>
      <c r="I719" s="221"/>
      <c r="J719" s="221"/>
      <c r="K719" s="221"/>
      <c r="L719" s="221"/>
      <c r="M719" s="221"/>
      <c r="N719" s="221"/>
      <c r="O719" s="221"/>
      <c r="P719" s="221"/>
      <c r="Q719" s="221"/>
      <c r="R719" s="221"/>
      <c r="S719" s="221"/>
      <c r="T719" s="221"/>
      <c r="U719" s="221"/>
      <c r="V719" s="221"/>
      <c r="W719" s="221"/>
      <c r="X719" s="221"/>
    </row>
    <row r="720" spans="1:24" ht="14" x14ac:dyDescent="0.3">
      <c r="A720" s="221"/>
      <c r="B720" s="221"/>
      <c r="C720" s="221"/>
      <c r="D720" s="221"/>
      <c r="E720" s="221"/>
      <c r="F720" s="221"/>
      <c r="G720" s="221"/>
      <c r="H720" s="221"/>
      <c r="I720" s="221"/>
      <c r="J720" s="221"/>
      <c r="K720" s="221"/>
      <c r="L720" s="221"/>
      <c r="M720" s="221"/>
      <c r="N720" s="221"/>
      <c r="O720" s="221"/>
      <c r="P720" s="221"/>
      <c r="Q720" s="221"/>
      <c r="R720" s="221"/>
      <c r="S720" s="221"/>
      <c r="T720" s="221"/>
      <c r="U720" s="221"/>
      <c r="V720" s="221"/>
      <c r="W720" s="221"/>
      <c r="X720" s="221"/>
    </row>
    <row r="721" spans="1:24" ht="14" x14ac:dyDescent="0.3">
      <c r="A721" s="221"/>
      <c r="B721" s="221"/>
      <c r="C721" s="221"/>
      <c r="D721" s="221"/>
      <c r="E721" s="221"/>
      <c r="F721" s="221"/>
      <c r="G721" s="221"/>
      <c r="H721" s="221"/>
      <c r="I721" s="221"/>
      <c r="J721" s="221"/>
      <c r="K721" s="221"/>
      <c r="L721" s="221"/>
      <c r="M721" s="221"/>
      <c r="N721" s="221"/>
      <c r="O721" s="221"/>
      <c r="P721" s="221"/>
      <c r="Q721" s="221"/>
      <c r="R721" s="221"/>
      <c r="S721" s="221"/>
      <c r="T721" s="221"/>
      <c r="U721" s="221"/>
      <c r="V721" s="221"/>
      <c r="W721" s="221"/>
      <c r="X721" s="221"/>
    </row>
    <row r="722" spans="1:24" ht="14" x14ac:dyDescent="0.3">
      <c r="A722" s="221"/>
      <c r="B722" s="221"/>
      <c r="C722" s="221"/>
      <c r="D722" s="221"/>
      <c r="E722" s="221"/>
      <c r="F722" s="221"/>
      <c r="G722" s="221"/>
      <c r="H722" s="221"/>
      <c r="I722" s="221"/>
      <c r="J722" s="221"/>
      <c r="K722" s="221"/>
      <c r="L722" s="221"/>
      <c r="M722" s="221"/>
      <c r="N722" s="221"/>
      <c r="O722" s="221"/>
      <c r="P722" s="221"/>
      <c r="Q722" s="221"/>
      <c r="R722" s="221"/>
      <c r="S722" s="221"/>
      <c r="T722" s="221"/>
      <c r="U722" s="221"/>
      <c r="V722" s="221"/>
      <c r="W722" s="221"/>
      <c r="X722" s="221"/>
    </row>
    <row r="723" spans="1:24" ht="14" x14ac:dyDescent="0.3">
      <c r="A723" s="221"/>
      <c r="B723" s="221"/>
      <c r="C723" s="221"/>
      <c r="D723" s="221"/>
      <c r="E723" s="221"/>
      <c r="F723" s="221"/>
      <c r="G723" s="221"/>
      <c r="H723" s="221"/>
      <c r="I723" s="221"/>
      <c r="J723" s="221"/>
      <c r="K723" s="221"/>
      <c r="L723" s="221"/>
      <c r="M723" s="221"/>
      <c r="N723" s="221"/>
      <c r="O723" s="221"/>
      <c r="P723" s="221"/>
      <c r="Q723" s="221"/>
      <c r="R723" s="221"/>
      <c r="S723" s="221"/>
      <c r="T723" s="221"/>
      <c r="U723" s="221"/>
      <c r="V723" s="221"/>
      <c r="W723" s="221"/>
      <c r="X723" s="221"/>
    </row>
    <row r="724" spans="1:24" ht="14" x14ac:dyDescent="0.3">
      <c r="A724" s="221"/>
      <c r="B724" s="221"/>
      <c r="C724" s="221"/>
      <c r="D724" s="221"/>
      <c r="E724" s="221"/>
      <c r="F724" s="221"/>
      <c r="G724" s="221"/>
      <c r="H724" s="221"/>
      <c r="I724" s="221"/>
      <c r="J724" s="221"/>
      <c r="K724" s="221"/>
      <c r="L724" s="221"/>
      <c r="M724" s="221"/>
      <c r="N724" s="221"/>
      <c r="O724" s="221"/>
      <c r="P724" s="221"/>
      <c r="Q724" s="221"/>
      <c r="R724" s="221"/>
      <c r="S724" s="221"/>
      <c r="T724" s="221"/>
      <c r="U724" s="221"/>
      <c r="V724" s="221"/>
      <c r="W724" s="221"/>
      <c r="X724" s="221"/>
    </row>
    <row r="725" spans="1:24" ht="14" x14ac:dyDescent="0.3">
      <c r="A725" s="221"/>
      <c r="B725" s="221"/>
      <c r="C725" s="221"/>
      <c r="D725" s="221"/>
      <c r="E725" s="221"/>
      <c r="F725" s="221"/>
      <c r="G725" s="221"/>
      <c r="H725" s="221"/>
      <c r="I725" s="221"/>
      <c r="J725" s="221"/>
      <c r="K725" s="221"/>
      <c r="L725" s="221"/>
      <c r="M725" s="221"/>
      <c r="N725" s="221"/>
      <c r="O725" s="221"/>
      <c r="P725" s="221"/>
      <c r="Q725" s="221"/>
      <c r="R725" s="221"/>
      <c r="S725" s="221"/>
      <c r="T725" s="221"/>
      <c r="U725" s="221"/>
      <c r="V725" s="221"/>
      <c r="W725" s="221"/>
      <c r="X725" s="221"/>
    </row>
    <row r="726" spans="1:24" ht="14" x14ac:dyDescent="0.3">
      <c r="A726" s="221"/>
      <c r="B726" s="221"/>
      <c r="C726" s="221"/>
      <c r="D726" s="221"/>
      <c r="E726" s="221"/>
      <c r="F726" s="221"/>
      <c r="G726" s="221"/>
      <c r="H726" s="221"/>
      <c r="I726" s="221"/>
      <c r="J726" s="221"/>
      <c r="K726" s="221"/>
      <c r="L726" s="221"/>
      <c r="M726" s="221"/>
      <c r="N726" s="221"/>
      <c r="O726" s="221"/>
      <c r="P726" s="221"/>
      <c r="Q726" s="221"/>
      <c r="R726" s="221"/>
      <c r="S726" s="221"/>
      <c r="T726" s="221"/>
      <c r="U726" s="221"/>
      <c r="V726" s="221"/>
      <c r="W726" s="221"/>
      <c r="X726" s="221"/>
    </row>
    <row r="727" spans="1:24" ht="14" x14ac:dyDescent="0.3">
      <c r="A727" s="221"/>
      <c r="B727" s="221"/>
      <c r="C727" s="221"/>
      <c r="D727" s="221"/>
      <c r="E727" s="221"/>
      <c r="F727" s="221"/>
      <c r="G727" s="221"/>
      <c r="H727" s="221"/>
      <c r="I727" s="221"/>
      <c r="J727" s="221"/>
      <c r="K727" s="221"/>
      <c r="L727" s="221"/>
      <c r="M727" s="221"/>
      <c r="N727" s="221"/>
      <c r="O727" s="221"/>
      <c r="P727" s="221"/>
      <c r="Q727" s="221"/>
      <c r="R727" s="221"/>
      <c r="S727" s="221"/>
      <c r="T727" s="221"/>
      <c r="U727" s="221"/>
      <c r="V727" s="221"/>
      <c r="W727" s="221"/>
      <c r="X727" s="221"/>
    </row>
    <row r="728" spans="1:24" ht="14" x14ac:dyDescent="0.3">
      <c r="A728" s="221"/>
      <c r="B728" s="221"/>
      <c r="C728" s="221"/>
      <c r="D728" s="221"/>
      <c r="E728" s="221"/>
      <c r="F728" s="221"/>
      <c r="G728" s="221"/>
      <c r="H728" s="221"/>
      <c r="I728" s="221"/>
      <c r="J728" s="221"/>
      <c r="K728" s="221"/>
      <c r="L728" s="221"/>
      <c r="M728" s="221"/>
      <c r="N728" s="221"/>
      <c r="O728" s="221"/>
      <c r="P728" s="221"/>
      <c r="Q728" s="221"/>
      <c r="R728" s="221"/>
      <c r="S728" s="221"/>
      <c r="T728" s="221"/>
      <c r="U728" s="221"/>
      <c r="V728" s="221"/>
      <c r="W728" s="221"/>
      <c r="X728" s="221"/>
    </row>
    <row r="729" spans="1:24" ht="14" x14ac:dyDescent="0.3">
      <c r="A729" s="221"/>
      <c r="B729" s="221"/>
      <c r="C729" s="221"/>
      <c r="D729" s="221"/>
      <c r="E729" s="221"/>
      <c r="F729" s="221"/>
      <c r="G729" s="221"/>
      <c r="H729" s="221"/>
      <c r="I729" s="221"/>
      <c r="J729" s="221"/>
      <c r="K729" s="221"/>
      <c r="L729" s="221"/>
      <c r="M729" s="221"/>
      <c r="N729" s="221"/>
      <c r="O729" s="221"/>
      <c r="P729" s="221"/>
      <c r="Q729" s="221"/>
      <c r="R729" s="221"/>
      <c r="S729" s="221"/>
      <c r="T729" s="221"/>
      <c r="U729" s="221"/>
      <c r="V729" s="221"/>
      <c r="W729" s="221"/>
      <c r="X729" s="221"/>
    </row>
    <row r="730" spans="1:24" ht="14" x14ac:dyDescent="0.3">
      <c r="A730" s="221"/>
      <c r="B730" s="221"/>
      <c r="C730" s="221"/>
      <c r="D730" s="221"/>
      <c r="E730" s="221"/>
      <c r="F730" s="221"/>
      <c r="G730" s="221"/>
      <c r="H730" s="221"/>
      <c r="I730" s="221"/>
      <c r="J730" s="221"/>
      <c r="K730" s="221"/>
      <c r="L730" s="221"/>
      <c r="M730" s="221"/>
      <c r="N730" s="221"/>
      <c r="O730" s="221"/>
      <c r="P730" s="221"/>
      <c r="Q730" s="221"/>
      <c r="R730" s="221"/>
      <c r="S730" s="221"/>
      <c r="T730" s="221"/>
      <c r="U730" s="221"/>
      <c r="V730" s="221"/>
      <c r="W730" s="221"/>
      <c r="X730" s="221"/>
    </row>
    <row r="731" spans="1:24" ht="14" x14ac:dyDescent="0.3">
      <c r="A731" s="221"/>
      <c r="B731" s="221"/>
      <c r="C731" s="221"/>
      <c r="D731" s="221"/>
      <c r="E731" s="221"/>
      <c r="F731" s="221"/>
      <c r="G731" s="221"/>
      <c r="H731" s="221"/>
      <c r="I731" s="221"/>
      <c r="J731" s="221"/>
      <c r="K731" s="221"/>
      <c r="L731" s="221"/>
      <c r="M731" s="221"/>
      <c r="N731" s="221"/>
      <c r="O731" s="221"/>
      <c r="P731" s="221"/>
      <c r="Q731" s="221"/>
      <c r="R731" s="221"/>
      <c r="S731" s="221"/>
      <c r="T731" s="221"/>
      <c r="U731" s="221"/>
      <c r="V731" s="221"/>
      <c r="W731" s="221"/>
      <c r="X731" s="221"/>
    </row>
    <row r="732" spans="1:24" ht="14" x14ac:dyDescent="0.3">
      <c r="A732" s="221"/>
      <c r="B732" s="221"/>
      <c r="C732" s="221"/>
      <c r="D732" s="221"/>
      <c r="E732" s="221"/>
      <c r="F732" s="221"/>
      <c r="G732" s="221"/>
      <c r="H732" s="221"/>
      <c r="I732" s="221"/>
      <c r="J732" s="221"/>
      <c r="K732" s="221"/>
      <c r="L732" s="221"/>
      <c r="M732" s="221"/>
      <c r="N732" s="221"/>
      <c r="O732" s="221"/>
      <c r="P732" s="221"/>
      <c r="Q732" s="221"/>
      <c r="R732" s="221"/>
      <c r="S732" s="221"/>
      <c r="T732" s="221"/>
      <c r="U732" s="221"/>
      <c r="V732" s="221"/>
      <c r="W732" s="221"/>
      <c r="X732" s="221"/>
    </row>
    <row r="733" spans="1:24" ht="14" x14ac:dyDescent="0.3">
      <c r="A733" s="221"/>
      <c r="B733" s="221"/>
      <c r="C733" s="221"/>
      <c r="D733" s="221"/>
      <c r="E733" s="221"/>
      <c r="F733" s="221"/>
      <c r="G733" s="221"/>
      <c r="H733" s="221"/>
      <c r="I733" s="221"/>
      <c r="J733" s="221"/>
      <c r="K733" s="221"/>
      <c r="L733" s="221"/>
      <c r="M733" s="221"/>
      <c r="N733" s="221"/>
      <c r="O733" s="221"/>
      <c r="P733" s="221"/>
      <c r="Q733" s="221"/>
      <c r="R733" s="221"/>
      <c r="S733" s="221"/>
      <c r="T733" s="221"/>
      <c r="U733" s="221"/>
      <c r="V733" s="221"/>
      <c r="W733" s="221"/>
      <c r="X733" s="221"/>
    </row>
    <row r="734" spans="1:24" ht="14" x14ac:dyDescent="0.3">
      <c r="A734" s="221"/>
      <c r="B734" s="221"/>
      <c r="C734" s="221"/>
      <c r="D734" s="221"/>
      <c r="E734" s="221"/>
      <c r="F734" s="221"/>
      <c r="G734" s="221"/>
      <c r="H734" s="221"/>
      <c r="I734" s="221"/>
      <c r="J734" s="221"/>
      <c r="K734" s="221"/>
      <c r="L734" s="221"/>
      <c r="M734" s="221"/>
      <c r="N734" s="221"/>
      <c r="O734" s="221"/>
      <c r="P734" s="221"/>
      <c r="Q734" s="221"/>
      <c r="R734" s="221"/>
      <c r="S734" s="221"/>
      <c r="T734" s="221"/>
      <c r="U734" s="221"/>
      <c r="V734" s="221"/>
      <c r="W734" s="221"/>
      <c r="X734" s="221"/>
    </row>
    <row r="735" spans="1:24" ht="14" x14ac:dyDescent="0.3">
      <c r="A735" s="221"/>
      <c r="B735" s="221"/>
      <c r="C735" s="221"/>
      <c r="D735" s="221"/>
      <c r="E735" s="221"/>
      <c r="F735" s="221"/>
      <c r="G735" s="221"/>
      <c r="H735" s="221"/>
      <c r="I735" s="221"/>
      <c r="J735" s="221"/>
      <c r="K735" s="221"/>
      <c r="L735" s="221"/>
      <c r="M735" s="221"/>
      <c r="N735" s="221"/>
      <c r="O735" s="221"/>
      <c r="P735" s="221"/>
      <c r="Q735" s="221"/>
      <c r="R735" s="221"/>
      <c r="S735" s="221"/>
      <c r="T735" s="221"/>
      <c r="U735" s="221"/>
      <c r="V735" s="221"/>
      <c r="W735" s="221"/>
      <c r="X735" s="221"/>
    </row>
    <row r="736" spans="1:24" ht="14" x14ac:dyDescent="0.3">
      <c r="A736" s="221"/>
      <c r="B736" s="221"/>
      <c r="C736" s="221"/>
      <c r="D736" s="221"/>
      <c r="E736" s="221"/>
      <c r="F736" s="221"/>
      <c r="G736" s="221"/>
      <c r="H736" s="221"/>
      <c r="I736" s="221"/>
      <c r="J736" s="221"/>
      <c r="K736" s="221"/>
      <c r="L736" s="221"/>
      <c r="M736" s="221"/>
      <c r="N736" s="221"/>
      <c r="O736" s="221"/>
      <c r="P736" s="221"/>
      <c r="Q736" s="221"/>
      <c r="R736" s="221"/>
      <c r="S736" s="221"/>
      <c r="T736" s="221"/>
      <c r="U736" s="221"/>
      <c r="V736" s="221"/>
      <c r="W736" s="221"/>
      <c r="X736" s="221"/>
    </row>
    <row r="737" spans="1:24" ht="14" x14ac:dyDescent="0.3">
      <c r="A737" s="221"/>
      <c r="B737" s="221"/>
      <c r="C737" s="221"/>
      <c r="D737" s="221"/>
      <c r="E737" s="221"/>
      <c r="F737" s="221"/>
      <c r="G737" s="221"/>
      <c r="H737" s="221"/>
      <c r="I737" s="221"/>
      <c r="J737" s="221"/>
      <c r="K737" s="221"/>
      <c r="L737" s="221"/>
      <c r="M737" s="221"/>
      <c r="N737" s="221"/>
      <c r="O737" s="221"/>
      <c r="P737" s="221"/>
      <c r="Q737" s="221"/>
      <c r="R737" s="221"/>
      <c r="S737" s="221"/>
      <c r="T737" s="221"/>
      <c r="U737" s="221"/>
      <c r="V737" s="221"/>
      <c r="W737" s="221"/>
      <c r="X737" s="221"/>
    </row>
    <row r="738" spans="1:24" ht="14" x14ac:dyDescent="0.3">
      <c r="A738" s="221"/>
      <c r="B738" s="221"/>
      <c r="C738" s="221"/>
      <c r="D738" s="221"/>
      <c r="E738" s="221"/>
      <c r="F738" s="221"/>
      <c r="G738" s="221"/>
      <c r="H738" s="221"/>
      <c r="I738" s="221"/>
      <c r="J738" s="221"/>
      <c r="K738" s="221"/>
      <c r="L738" s="221"/>
      <c r="M738" s="221"/>
      <c r="N738" s="221"/>
      <c r="O738" s="221"/>
      <c r="P738" s="221"/>
      <c r="Q738" s="221"/>
      <c r="R738" s="221"/>
      <c r="S738" s="221"/>
      <c r="T738" s="221"/>
      <c r="U738" s="221"/>
      <c r="V738" s="221"/>
      <c r="W738" s="221"/>
      <c r="X738" s="221"/>
    </row>
    <row r="739" spans="1:24" ht="14" x14ac:dyDescent="0.3">
      <c r="A739" s="221"/>
      <c r="B739" s="221"/>
      <c r="C739" s="221"/>
      <c r="D739" s="221"/>
      <c r="E739" s="221"/>
      <c r="F739" s="221"/>
      <c r="G739" s="221"/>
      <c r="H739" s="221"/>
      <c r="I739" s="221"/>
      <c r="J739" s="221"/>
      <c r="K739" s="221"/>
      <c r="L739" s="221"/>
      <c r="M739" s="221"/>
      <c r="N739" s="221"/>
      <c r="O739" s="221"/>
      <c r="P739" s="221"/>
      <c r="Q739" s="221"/>
      <c r="R739" s="221"/>
      <c r="S739" s="221"/>
      <c r="T739" s="221"/>
      <c r="U739" s="221"/>
      <c r="V739" s="221"/>
      <c r="W739" s="221"/>
      <c r="X739" s="221"/>
    </row>
    <row r="740" spans="1:24" ht="14" x14ac:dyDescent="0.3">
      <c r="A740" s="221"/>
      <c r="B740" s="221"/>
      <c r="C740" s="221"/>
      <c r="D740" s="221"/>
      <c r="E740" s="221"/>
      <c r="F740" s="221"/>
      <c r="G740" s="221"/>
      <c r="H740" s="221"/>
      <c r="I740" s="221"/>
      <c r="J740" s="221"/>
      <c r="K740" s="221"/>
      <c r="L740" s="221"/>
      <c r="M740" s="221"/>
      <c r="N740" s="221"/>
      <c r="O740" s="221"/>
      <c r="P740" s="221"/>
      <c r="Q740" s="221"/>
      <c r="R740" s="221"/>
      <c r="S740" s="221"/>
      <c r="T740" s="221"/>
      <c r="U740" s="221"/>
      <c r="V740" s="221"/>
      <c r="W740" s="221"/>
      <c r="X740" s="221"/>
    </row>
    <row r="741" spans="1:24" ht="14" x14ac:dyDescent="0.3">
      <c r="A741" s="221"/>
      <c r="B741" s="221"/>
      <c r="C741" s="221"/>
      <c r="D741" s="221"/>
      <c r="E741" s="221"/>
      <c r="F741" s="221"/>
      <c r="G741" s="221"/>
      <c r="H741" s="221"/>
      <c r="I741" s="221"/>
      <c r="J741" s="221"/>
      <c r="K741" s="221"/>
      <c r="L741" s="221"/>
      <c r="M741" s="221"/>
      <c r="N741" s="221"/>
      <c r="O741" s="221"/>
      <c r="P741" s="221"/>
      <c r="Q741" s="221"/>
      <c r="R741" s="221"/>
      <c r="S741" s="221"/>
      <c r="T741" s="221"/>
      <c r="U741" s="221"/>
      <c r="V741" s="221"/>
      <c r="W741" s="221"/>
      <c r="X741" s="221"/>
    </row>
    <row r="742" spans="1:24" ht="14" x14ac:dyDescent="0.3">
      <c r="A742" s="221"/>
      <c r="B742" s="221"/>
      <c r="C742" s="221"/>
      <c r="D742" s="221"/>
      <c r="E742" s="221"/>
      <c r="F742" s="221"/>
      <c r="G742" s="221"/>
      <c r="H742" s="221"/>
      <c r="I742" s="221"/>
      <c r="J742" s="221"/>
      <c r="K742" s="221"/>
      <c r="L742" s="221"/>
      <c r="M742" s="221"/>
      <c r="N742" s="221"/>
      <c r="O742" s="221"/>
      <c r="P742" s="221"/>
      <c r="Q742" s="221"/>
      <c r="R742" s="221"/>
      <c r="S742" s="221"/>
      <c r="T742" s="221"/>
      <c r="U742" s="221"/>
      <c r="V742" s="221"/>
      <c r="W742" s="221"/>
      <c r="X742" s="221"/>
    </row>
    <row r="743" spans="1:24" ht="14" x14ac:dyDescent="0.3">
      <c r="A743" s="221"/>
      <c r="B743" s="221"/>
      <c r="C743" s="221"/>
      <c r="D743" s="221"/>
      <c r="E743" s="221"/>
      <c r="F743" s="221"/>
      <c r="G743" s="221"/>
      <c r="H743" s="221"/>
      <c r="I743" s="221"/>
      <c r="J743" s="221"/>
      <c r="K743" s="221"/>
      <c r="L743" s="221"/>
      <c r="M743" s="221"/>
      <c r="N743" s="221"/>
      <c r="O743" s="221"/>
      <c r="P743" s="221"/>
      <c r="Q743" s="221"/>
      <c r="R743" s="221"/>
      <c r="S743" s="221"/>
      <c r="T743" s="221"/>
      <c r="U743" s="221"/>
      <c r="V743" s="221"/>
      <c r="W743" s="221"/>
      <c r="X743" s="221"/>
    </row>
    <row r="744" spans="1:24" ht="14" x14ac:dyDescent="0.3">
      <c r="A744" s="221"/>
      <c r="B744" s="221"/>
      <c r="C744" s="221"/>
      <c r="D744" s="221"/>
      <c r="E744" s="221"/>
      <c r="F744" s="221"/>
      <c r="G744" s="221"/>
      <c r="H744" s="221"/>
      <c r="I744" s="221"/>
      <c r="J744" s="221"/>
      <c r="K744" s="221"/>
      <c r="L744" s="221"/>
      <c r="M744" s="221"/>
      <c r="N744" s="221"/>
      <c r="O744" s="221"/>
      <c r="P744" s="221"/>
      <c r="Q744" s="221"/>
      <c r="R744" s="221"/>
      <c r="S744" s="221"/>
      <c r="T744" s="221"/>
      <c r="U744" s="221"/>
      <c r="V744" s="221"/>
      <c r="W744" s="221"/>
      <c r="X744" s="221"/>
    </row>
    <row r="745" spans="1:24" ht="14" x14ac:dyDescent="0.3">
      <c r="A745" s="221"/>
      <c r="B745" s="221"/>
      <c r="C745" s="221"/>
      <c r="D745" s="221"/>
      <c r="E745" s="221"/>
      <c r="F745" s="221"/>
      <c r="G745" s="221"/>
      <c r="H745" s="221"/>
      <c r="I745" s="221"/>
      <c r="J745" s="221"/>
      <c r="K745" s="221"/>
      <c r="L745" s="221"/>
      <c r="M745" s="221"/>
      <c r="N745" s="221"/>
      <c r="O745" s="221"/>
      <c r="P745" s="221"/>
      <c r="Q745" s="221"/>
      <c r="R745" s="221"/>
      <c r="S745" s="221"/>
      <c r="T745" s="221"/>
      <c r="U745" s="221"/>
      <c r="V745" s="221"/>
      <c r="W745" s="221"/>
      <c r="X745" s="221"/>
    </row>
    <row r="746" spans="1:24" ht="14" x14ac:dyDescent="0.3">
      <c r="A746" s="221"/>
      <c r="B746" s="221"/>
      <c r="C746" s="221"/>
      <c r="D746" s="221"/>
      <c r="E746" s="221"/>
      <c r="F746" s="221"/>
      <c r="G746" s="221"/>
      <c r="H746" s="221"/>
      <c r="I746" s="221"/>
      <c r="J746" s="221"/>
      <c r="K746" s="221"/>
      <c r="L746" s="221"/>
      <c r="M746" s="221"/>
      <c r="N746" s="221"/>
      <c r="O746" s="221"/>
      <c r="P746" s="221"/>
      <c r="Q746" s="221"/>
      <c r="R746" s="221"/>
      <c r="S746" s="221"/>
      <c r="T746" s="221"/>
      <c r="U746" s="221"/>
      <c r="V746" s="221"/>
      <c r="W746" s="221"/>
      <c r="X746" s="221"/>
    </row>
    <row r="747" spans="1:24" ht="14" x14ac:dyDescent="0.3">
      <c r="A747" s="221"/>
      <c r="B747" s="221"/>
      <c r="C747" s="221"/>
      <c r="D747" s="221"/>
      <c r="E747" s="221"/>
      <c r="F747" s="221"/>
      <c r="G747" s="221"/>
      <c r="H747" s="221"/>
      <c r="I747" s="221"/>
      <c r="J747" s="221"/>
      <c r="K747" s="221"/>
      <c r="L747" s="221"/>
      <c r="M747" s="221"/>
      <c r="N747" s="221"/>
      <c r="O747" s="221"/>
      <c r="P747" s="221"/>
      <c r="Q747" s="221"/>
      <c r="R747" s="221"/>
      <c r="S747" s="221"/>
      <c r="T747" s="221"/>
      <c r="U747" s="221"/>
      <c r="V747" s="221"/>
      <c r="W747" s="221"/>
      <c r="X747" s="221"/>
    </row>
    <row r="748" spans="1:24" ht="14" x14ac:dyDescent="0.3">
      <c r="A748" s="221"/>
      <c r="B748" s="221"/>
      <c r="C748" s="221"/>
      <c r="D748" s="221"/>
      <c r="E748" s="221"/>
      <c r="F748" s="221"/>
      <c r="G748" s="221"/>
      <c r="H748" s="221"/>
      <c r="I748" s="221"/>
      <c r="J748" s="221"/>
      <c r="K748" s="221"/>
      <c r="L748" s="221"/>
      <c r="M748" s="221"/>
      <c r="N748" s="221"/>
      <c r="O748" s="221"/>
      <c r="P748" s="221"/>
      <c r="Q748" s="221"/>
      <c r="R748" s="221"/>
      <c r="S748" s="221"/>
      <c r="T748" s="221"/>
      <c r="U748" s="221"/>
      <c r="V748" s="221"/>
      <c r="W748" s="221"/>
      <c r="X748" s="221"/>
    </row>
    <row r="749" spans="1:24" ht="14" x14ac:dyDescent="0.3">
      <c r="A749" s="221"/>
      <c r="B749" s="221"/>
      <c r="C749" s="221"/>
      <c r="D749" s="221"/>
      <c r="E749" s="221"/>
      <c r="F749" s="221"/>
      <c r="G749" s="221"/>
      <c r="H749" s="221"/>
      <c r="I749" s="221"/>
      <c r="J749" s="221"/>
      <c r="K749" s="221"/>
      <c r="L749" s="221"/>
      <c r="M749" s="221"/>
      <c r="N749" s="221"/>
      <c r="O749" s="221"/>
      <c r="P749" s="221"/>
      <c r="Q749" s="221"/>
      <c r="R749" s="221"/>
      <c r="S749" s="221"/>
      <c r="T749" s="221"/>
      <c r="U749" s="221"/>
      <c r="V749" s="221"/>
      <c r="W749" s="221"/>
      <c r="X749" s="221"/>
    </row>
    <row r="750" spans="1:24" ht="14" x14ac:dyDescent="0.3">
      <c r="A750" s="221"/>
      <c r="B750" s="221"/>
      <c r="C750" s="221"/>
      <c r="D750" s="221"/>
      <c r="E750" s="221"/>
      <c r="F750" s="221"/>
      <c r="G750" s="221"/>
      <c r="H750" s="221"/>
      <c r="I750" s="221"/>
      <c r="J750" s="221"/>
      <c r="K750" s="221"/>
      <c r="L750" s="221"/>
      <c r="M750" s="221"/>
      <c r="N750" s="221"/>
      <c r="O750" s="221"/>
      <c r="P750" s="221"/>
      <c r="Q750" s="221"/>
      <c r="R750" s="221"/>
      <c r="S750" s="221"/>
      <c r="T750" s="221"/>
      <c r="U750" s="221"/>
      <c r="V750" s="221"/>
      <c r="W750" s="221"/>
      <c r="X750" s="221"/>
    </row>
    <row r="751" spans="1:24" ht="14" x14ac:dyDescent="0.3">
      <c r="A751" s="221"/>
      <c r="B751" s="221"/>
      <c r="C751" s="221"/>
      <c r="D751" s="221"/>
      <c r="E751" s="221"/>
      <c r="F751" s="221"/>
      <c r="G751" s="221"/>
      <c r="H751" s="221"/>
      <c r="I751" s="221"/>
      <c r="J751" s="221"/>
      <c r="K751" s="221"/>
      <c r="L751" s="221"/>
      <c r="M751" s="221"/>
      <c r="N751" s="221"/>
      <c r="O751" s="221"/>
      <c r="P751" s="221"/>
      <c r="Q751" s="221"/>
      <c r="R751" s="221"/>
      <c r="S751" s="221"/>
      <c r="T751" s="221"/>
      <c r="U751" s="221"/>
      <c r="V751" s="221"/>
      <c r="W751" s="221"/>
      <c r="X751" s="221"/>
    </row>
    <row r="752" spans="1:24" ht="14" x14ac:dyDescent="0.3">
      <c r="A752" s="221"/>
      <c r="B752" s="221"/>
      <c r="C752" s="221"/>
      <c r="D752" s="221"/>
      <c r="E752" s="221"/>
      <c r="F752" s="221"/>
      <c r="G752" s="221"/>
      <c r="H752" s="221"/>
      <c r="I752" s="221"/>
      <c r="J752" s="221"/>
      <c r="K752" s="221"/>
      <c r="L752" s="221"/>
      <c r="M752" s="221"/>
      <c r="N752" s="221"/>
      <c r="O752" s="221"/>
      <c r="P752" s="221"/>
      <c r="Q752" s="221"/>
      <c r="R752" s="221"/>
      <c r="S752" s="221"/>
      <c r="T752" s="221"/>
      <c r="U752" s="221"/>
      <c r="V752" s="221"/>
      <c r="W752" s="221"/>
      <c r="X752" s="221"/>
    </row>
    <row r="753" spans="1:24" ht="14" x14ac:dyDescent="0.3">
      <c r="A753" s="221"/>
      <c r="B753" s="221"/>
      <c r="C753" s="221"/>
      <c r="D753" s="221"/>
      <c r="E753" s="221"/>
      <c r="F753" s="221"/>
      <c r="G753" s="221"/>
      <c r="H753" s="221"/>
      <c r="I753" s="221"/>
      <c r="J753" s="221"/>
      <c r="K753" s="221"/>
      <c r="L753" s="221"/>
      <c r="M753" s="221"/>
      <c r="N753" s="221"/>
      <c r="O753" s="221"/>
      <c r="P753" s="221"/>
      <c r="Q753" s="221"/>
      <c r="R753" s="221"/>
      <c r="S753" s="221"/>
      <c r="T753" s="221"/>
      <c r="U753" s="221"/>
      <c r="V753" s="221"/>
      <c r="W753" s="221"/>
      <c r="X753" s="221"/>
    </row>
    <row r="754" spans="1:24" ht="14" x14ac:dyDescent="0.3">
      <c r="A754" s="221"/>
      <c r="B754" s="221"/>
      <c r="C754" s="221"/>
      <c r="D754" s="221"/>
      <c r="E754" s="221"/>
      <c r="F754" s="221"/>
      <c r="G754" s="221"/>
      <c r="H754" s="221"/>
      <c r="I754" s="221"/>
      <c r="J754" s="221"/>
      <c r="K754" s="221"/>
      <c r="L754" s="221"/>
      <c r="M754" s="221"/>
      <c r="N754" s="221"/>
      <c r="O754" s="221"/>
      <c r="P754" s="221"/>
      <c r="Q754" s="221"/>
      <c r="R754" s="221"/>
      <c r="S754" s="221"/>
      <c r="T754" s="221"/>
      <c r="U754" s="221"/>
      <c r="V754" s="221"/>
      <c r="W754" s="221"/>
      <c r="X754" s="221"/>
    </row>
    <row r="755" spans="1:24" ht="14" x14ac:dyDescent="0.3">
      <c r="A755" s="221"/>
      <c r="B755" s="221"/>
      <c r="C755" s="221"/>
      <c r="D755" s="221"/>
      <c r="E755" s="221"/>
      <c r="F755" s="221"/>
      <c r="G755" s="221"/>
      <c r="H755" s="221"/>
      <c r="I755" s="221"/>
      <c r="J755" s="221"/>
      <c r="K755" s="221"/>
      <c r="L755" s="221"/>
      <c r="M755" s="221"/>
      <c r="N755" s="221"/>
      <c r="O755" s="221"/>
      <c r="P755" s="221"/>
      <c r="Q755" s="221"/>
      <c r="R755" s="221"/>
      <c r="S755" s="221"/>
      <c r="T755" s="221"/>
      <c r="U755" s="221"/>
      <c r="V755" s="221"/>
      <c r="W755" s="221"/>
      <c r="X755" s="221"/>
    </row>
    <row r="756" spans="1:24" ht="14" x14ac:dyDescent="0.3">
      <c r="A756" s="221"/>
      <c r="B756" s="221"/>
      <c r="C756" s="221"/>
      <c r="D756" s="221"/>
      <c r="E756" s="221"/>
      <c r="F756" s="221"/>
      <c r="G756" s="221"/>
      <c r="H756" s="221"/>
      <c r="I756" s="221"/>
      <c r="J756" s="221"/>
      <c r="K756" s="221"/>
      <c r="L756" s="221"/>
      <c r="M756" s="221"/>
      <c r="N756" s="221"/>
      <c r="O756" s="221"/>
      <c r="P756" s="221"/>
      <c r="Q756" s="221"/>
      <c r="R756" s="221"/>
      <c r="S756" s="221"/>
      <c r="T756" s="221"/>
      <c r="U756" s="221"/>
      <c r="V756" s="221"/>
      <c r="W756" s="221"/>
      <c r="X756" s="221"/>
    </row>
    <row r="757" spans="1:24" ht="14" x14ac:dyDescent="0.3">
      <c r="A757" s="221"/>
      <c r="B757" s="221"/>
      <c r="C757" s="221"/>
      <c r="D757" s="221"/>
      <c r="E757" s="221"/>
      <c r="F757" s="221"/>
      <c r="G757" s="221"/>
      <c r="H757" s="221"/>
      <c r="I757" s="221"/>
      <c r="J757" s="221"/>
      <c r="K757" s="221"/>
      <c r="L757" s="221"/>
      <c r="M757" s="221"/>
      <c r="N757" s="221"/>
      <c r="O757" s="221"/>
      <c r="P757" s="221"/>
      <c r="Q757" s="221"/>
      <c r="R757" s="221"/>
      <c r="S757" s="221"/>
      <c r="T757" s="221"/>
      <c r="U757" s="221"/>
      <c r="V757" s="221"/>
      <c r="W757" s="221"/>
      <c r="X757" s="221"/>
    </row>
    <row r="758" spans="1:24" ht="14" x14ac:dyDescent="0.3">
      <c r="A758" s="221"/>
      <c r="B758" s="221"/>
      <c r="C758" s="221"/>
      <c r="D758" s="221"/>
      <c r="E758" s="221"/>
      <c r="F758" s="221"/>
      <c r="G758" s="221"/>
      <c r="H758" s="221"/>
      <c r="I758" s="221"/>
      <c r="J758" s="221"/>
      <c r="K758" s="221"/>
      <c r="L758" s="221"/>
      <c r="M758" s="221"/>
      <c r="N758" s="221"/>
      <c r="O758" s="221"/>
      <c r="P758" s="221"/>
      <c r="Q758" s="221"/>
      <c r="R758" s="221"/>
      <c r="S758" s="221"/>
      <c r="T758" s="221"/>
      <c r="U758" s="221"/>
      <c r="V758" s="221"/>
      <c r="W758" s="221"/>
      <c r="X758" s="221"/>
    </row>
    <row r="759" spans="1:24" ht="14" x14ac:dyDescent="0.3">
      <c r="A759" s="221"/>
      <c r="B759" s="221"/>
      <c r="C759" s="221"/>
      <c r="D759" s="221"/>
      <c r="E759" s="221"/>
      <c r="F759" s="221"/>
      <c r="G759" s="221"/>
      <c r="H759" s="221"/>
      <c r="I759" s="221"/>
      <c r="J759" s="221"/>
      <c r="K759" s="221"/>
      <c r="L759" s="221"/>
      <c r="M759" s="221"/>
      <c r="N759" s="221"/>
      <c r="O759" s="221"/>
      <c r="P759" s="221"/>
      <c r="Q759" s="221"/>
      <c r="R759" s="221"/>
      <c r="S759" s="221"/>
      <c r="T759" s="221"/>
      <c r="U759" s="221"/>
      <c r="V759" s="221"/>
      <c r="W759" s="221"/>
      <c r="X759" s="221"/>
    </row>
    <row r="760" spans="1:24" ht="14" x14ac:dyDescent="0.3">
      <c r="A760" s="221"/>
      <c r="B760" s="221"/>
      <c r="C760" s="221"/>
      <c r="D760" s="221"/>
      <c r="E760" s="221"/>
      <c r="F760" s="221"/>
      <c r="G760" s="221"/>
      <c r="H760" s="221"/>
      <c r="I760" s="221"/>
      <c r="J760" s="221"/>
      <c r="K760" s="221"/>
      <c r="L760" s="221"/>
      <c r="M760" s="221"/>
      <c r="N760" s="221"/>
      <c r="O760" s="221"/>
      <c r="P760" s="221"/>
      <c r="Q760" s="221"/>
      <c r="R760" s="221"/>
      <c r="S760" s="221"/>
      <c r="T760" s="221"/>
      <c r="U760" s="221"/>
      <c r="V760" s="221"/>
      <c r="W760" s="221"/>
      <c r="X760" s="221"/>
    </row>
    <row r="761" spans="1:24" ht="14" x14ac:dyDescent="0.3">
      <c r="A761" s="221"/>
      <c r="B761" s="221"/>
      <c r="C761" s="221"/>
      <c r="D761" s="221"/>
      <c r="E761" s="221"/>
      <c r="F761" s="221"/>
      <c r="G761" s="221"/>
      <c r="H761" s="221"/>
      <c r="I761" s="221"/>
      <c r="J761" s="221"/>
      <c r="K761" s="221"/>
      <c r="L761" s="221"/>
      <c r="M761" s="221"/>
      <c r="N761" s="221"/>
      <c r="O761" s="221"/>
      <c r="P761" s="221"/>
      <c r="Q761" s="221"/>
      <c r="R761" s="221"/>
      <c r="S761" s="221"/>
      <c r="T761" s="221"/>
      <c r="U761" s="221"/>
      <c r="V761" s="221"/>
      <c r="W761" s="221"/>
      <c r="X761" s="221"/>
    </row>
    <row r="762" spans="1:24" ht="14" x14ac:dyDescent="0.3">
      <c r="A762" s="221"/>
      <c r="B762" s="221"/>
      <c r="C762" s="221"/>
      <c r="D762" s="221"/>
      <c r="E762" s="221"/>
      <c r="F762" s="221"/>
      <c r="G762" s="221"/>
      <c r="H762" s="221"/>
      <c r="I762" s="221"/>
      <c r="J762" s="221"/>
      <c r="K762" s="221"/>
      <c r="L762" s="221"/>
      <c r="M762" s="221"/>
      <c r="N762" s="221"/>
      <c r="O762" s="221"/>
      <c r="P762" s="221"/>
      <c r="Q762" s="221"/>
      <c r="R762" s="221"/>
      <c r="S762" s="221"/>
      <c r="T762" s="221"/>
      <c r="U762" s="221"/>
      <c r="V762" s="221"/>
      <c r="W762" s="221"/>
      <c r="X762" s="221"/>
    </row>
    <row r="763" spans="1:24" ht="14" x14ac:dyDescent="0.3">
      <c r="A763" s="221"/>
      <c r="B763" s="221"/>
      <c r="C763" s="221"/>
      <c r="D763" s="221"/>
      <c r="E763" s="221"/>
      <c r="F763" s="221"/>
      <c r="G763" s="221"/>
      <c r="H763" s="221"/>
      <c r="I763" s="221"/>
      <c r="J763" s="221"/>
      <c r="K763" s="221"/>
      <c r="L763" s="221"/>
      <c r="M763" s="221"/>
      <c r="N763" s="221"/>
      <c r="O763" s="221"/>
      <c r="P763" s="221"/>
      <c r="Q763" s="221"/>
      <c r="R763" s="221"/>
      <c r="S763" s="221"/>
      <c r="T763" s="221"/>
      <c r="U763" s="221"/>
      <c r="V763" s="221"/>
      <c r="W763" s="221"/>
      <c r="X763" s="221"/>
    </row>
    <row r="764" spans="1:24" ht="14" x14ac:dyDescent="0.3">
      <c r="A764" s="221"/>
      <c r="B764" s="221"/>
      <c r="C764" s="221"/>
      <c r="D764" s="221"/>
      <c r="E764" s="221"/>
      <c r="F764" s="221"/>
      <c r="G764" s="221"/>
      <c r="H764" s="221"/>
      <c r="I764" s="221"/>
      <c r="J764" s="221"/>
      <c r="K764" s="221"/>
      <c r="L764" s="221"/>
      <c r="M764" s="221"/>
      <c r="N764" s="221"/>
      <c r="O764" s="221"/>
      <c r="P764" s="221"/>
      <c r="Q764" s="221"/>
      <c r="R764" s="221"/>
      <c r="S764" s="221"/>
      <c r="T764" s="221"/>
      <c r="U764" s="221"/>
      <c r="V764" s="221"/>
      <c r="W764" s="221"/>
      <c r="X764" s="221"/>
    </row>
    <row r="765" spans="1:24" ht="14" x14ac:dyDescent="0.3">
      <c r="A765" s="221"/>
      <c r="B765" s="221"/>
      <c r="C765" s="221"/>
      <c r="D765" s="221"/>
      <c r="E765" s="221"/>
      <c r="F765" s="221"/>
      <c r="G765" s="221"/>
      <c r="H765" s="221"/>
      <c r="I765" s="221"/>
      <c r="J765" s="221"/>
      <c r="K765" s="221"/>
      <c r="L765" s="221"/>
      <c r="M765" s="221"/>
      <c r="N765" s="221"/>
      <c r="O765" s="221"/>
      <c r="P765" s="221"/>
      <c r="Q765" s="221"/>
      <c r="R765" s="221"/>
      <c r="S765" s="221"/>
      <c r="T765" s="221"/>
      <c r="U765" s="221"/>
      <c r="V765" s="221"/>
      <c r="W765" s="221"/>
      <c r="X765" s="221"/>
    </row>
    <row r="766" spans="1:24" ht="14" x14ac:dyDescent="0.3">
      <c r="A766" s="221"/>
      <c r="B766" s="221"/>
      <c r="C766" s="221"/>
      <c r="D766" s="221"/>
      <c r="E766" s="221"/>
      <c r="F766" s="221"/>
      <c r="G766" s="221"/>
      <c r="H766" s="221"/>
      <c r="I766" s="221"/>
      <c r="J766" s="221"/>
      <c r="K766" s="221"/>
      <c r="L766" s="221"/>
      <c r="M766" s="221"/>
      <c r="N766" s="221"/>
      <c r="O766" s="221"/>
      <c r="P766" s="221"/>
      <c r="Q766" s="221"/>
      <c r="R766" s="221"/>
      <c r="S766" s="221"/>
      <c r="T766" s="221"/>
      <c r="U766" s="221"/>
      <c r="V766" s="221"/>
      <c r="W766" s="221"/>
      <c r="X766" s="221"/>
    </row>
    <row r="767" spans="1:24" ht="14" x14ac:dyDescent="0.3">
      <c r="A767" s="221"/>
      <c r="B767" s="221"/>
      <c r="C767" s="221"/>
      <c r="D767" s="221"/>
      <c r="E767" s="221"/>
      <c r="F767" s="221"/>
      <c r="G767" s="221"/>
      <c r="H767" s="221"/>
      <c r="I767" s="221"/>
      <c r="J767" s="221"/>
      <c r="K767" s="221"/>
      <c r="L767" s="221"/>
      <c r="M767" s="221"/>
      <c r="N767" s="221"/>
      <c r="O767" s="221"/>
      <c r="P767" s="221"/>
      <c r="Q767" s="221"/>
      <c r="R767" s="221"/>
      <c r="S767" s="221"/>
      <c r="T767" s="221"/>
      <c r="U767" s="221"/>
      <c r="V767" s="221"/>
      <c r="W767" s="221"/>
      <c r="X767" s="221"/>
    </row>
    <row r="768" spans="1:24" ht="14" x14ac:dyDescent="0.3">
      <c r="A768" s="221"/>
      <c r="B768" s="221"/>
      <c r="C768" s="221"/>
      <c r="D768" s="221"/>
      <c r="E768" s="221"/>
      <c r="F768" s="221"/>
      <c r="G768" s="221"/>
      <c r="H768" s="221"/>
      <c r="I768" s="221"/>
      <c r="J768" s="221"/>
      <c r="K768" s="221"/>
      <c r="L768" s="221"/>
      <c r="M768" s="221"/>
      <c r="N768" s="221"/>
      <c r="O768" s="221"/>
      <c r="P768" s="221"/>
      <c r="Q768" s="221"/>
      <c r="R768" s="221"/>
      <c r="S768" s="221"/>
      <c r="T768" s="221"/>
      <c r="U768" s="221"/>
      <c r="V768" s="221"/>
      <c r="W768" s="221"/>
      <c r="X768" s="221"/>
    </row>
    <row r="769" spans="1:24" ht="14" x14ac:dyDescent="0.3">
      <c r="A769" s="221"/>
      <c r="B769" s="221"/>
      <c r="C769" s="221"/>
      <c r="D769" s="221"/>
      <c r="E769" s="221"/>
      <c r="F769" s="221"/>
      <c r="G769" s="221"/>
      <c r="H769" s="221"/>
      <c r="I769" s="221"/>
      <c r="J769" s="221"/>
      <c r="K769" s="221"/>
      <c r="L769" s="221"/>
      <c r="M769" s="221"/>
      <c r="N769" s="221"/>
      <c r="O769" s="221"/>
      <c r="P769" s="221"/>
      <c r="Q769" s="221"/>
      <c r="R769" s="221"/>
      <c r="S769" s="221"/>
      <c r="T769" s="221"/>
      <c r="U769" s="221"/>
      <c r="V769" s="221"/>
      <c r="W769" s="221"/>
      <c r="X769" s="221"/>
    </row>
    <row r="770" spans="1:24" ht="14" x14ac:dyDescent="0.3">
      <c r="A770" s="221"/>
      <c r="B770" s="221"/>
      <c r="C770" s="221"/>
      <c r="D770" s="221"/>
      <c r="E770" s="221"/>
      <c r="F770" s="221"/>
      <c r="G770" s="221"/>
      <c r="H770" s="221"/>
      <c r="I770" s="221"/>
      <c r="J770" s="221"/>
      <c r="K770" s="221"/>
      <c r="L770" s="221"/>
      <c r="M770" s="221"/>
      <c r="N770" s="221"/>
      <c r="O770" s="221"/>
      <c r="P770" s="221"/>
      <c r="Q770" s="221"/>
      <c r="R770" s="221"/>
      <c r="S770" s="221"/>
      <c r="T770" s="221"/>
      <c r="U770" s="221"/>
      <c r="V770" s="221"/>
      <c r="W770" s="221"/>
      <c r="X770" s="221"/>
    </row>
    <row r="771" spans="1:24" ht="14" x14ac:dyDescent="0.3">
      <c r="A771" s="221"/>
      <c r="B771" s="221"/>
      <c r="C771" s="221"/>
      <c r="D771" s="221"/>
      <c r="E771" s="221"/>
      <c r="F771" s="221"/>
      <c r="G771" s="221"/>
      <c r="H771" s="221"/>
      <c r="I771" s="221"/>
      <c r="J771" s="221"/>
      <c r="K771" s="221"/>
      <c r="L771" s="221"/>
      <c r="M771" s="221"/>
      <c r="N771" s="221"/>
      <c r="O771" s="221"/>
      <c r="P771" s="221"/>
      <c r="Q771" s="221"/>
      <c r="R771" s="221"/>
      <c r="S771" s="221"/>
      <c r="T771" s="221"/>
      <c r="U771" s="221"/>
      <c r="V771" s="221"/>
      <c r="W771" s="221"/>
      <c r="X771" s="221"/>
    </row>
    <row r="772" spans="1:24" ht="14" x14ac:dyDescent="0.3">
      <c r="A772" s="221"/>
      <c r="B772" s="221"/>
      <c r="C772" s="221"/>
      <c r="D772" s="221"/>
      <c r="E772" s="221"/>
      <c r="F772" s="221"/>
      <c r="G772" s="221"/>
      <c r="H772" s="221"/>
      <c r="I772" s="221"/>
      <c r="J772" s="221"/>
      <c r="K772" s="221"/>
      <c r="L772" s="221"/>
      <c r="M772" s="221"/>
      <c r="N772" s="221"/>
      <c r="O772" s="221"/>
      <c r="P772" s="221"/>
      <c r="Q772" s="221"/>
      <c r="R772" s="221"/>
      <c r="S772" s="221"/>
      <c r="T772" s="221"/>
      <c r="U772" s="221"/>
      <c r="V772" s="221"/>
      <c r="W772" s="221"/>
      <c r="X772" s="221"/>
    </row>
    <row r="773" spans="1:24" ht="14" x14ac:dyDescent="0.3">
      <c r="A773" s="221"/>
      <c r="B773" s="221"/>
      <c r="C773" s="221"/>
      <c r="D773" s="221"/>
      <c r="E773" s="221"/>
      <c r="F773" s="221"/>
      <c r="G773" s="221"/>
      <c r="H773" s="221"/>
      <c r="I773" s="221"/>
      <c r="J773" s="221"/>
      <c r="K773" s="221"/>
      <c r="L773" s="221"/>
      <c r="M773" s="221"/>
      <c r="N773" s="221"/>
      <c r="O773" s="221"/>
      <c r="P773" s="221"/>
      <c r="Q773" s="221"/>
      <c r="R773" s="221"/>
      <c r="S773" s="221"/>
      <c r="T773" s="221"/>
      <c r="U773" s="221"/>
      <c r="V773" s="221"/>
      <c r="W773" s="221"/>
      <c r="X773" s="221"/>
    </row>
    <row r="774" spans="1:24" ht="14" x14ac:dyDescent="0.3">
      <c r="A774" s="221"/>
      <c r="B774" s="221"/>
      <c r="C774" s="221"/>
      <c r="D774" s="221"/>
      <c r="E774" s="221"/>
      <c r="F774" s="221"/>
      <c r="G774" s="221"/>
      <c r="H774" s="221"/>
      <c r="I774" s="221"/>
      <c r="J774" s="221"/>
      <c r="K774" s="221"/>
      <c r="L774" s="221"/>
      <c r="M774" s="221"/>
      <c r="N774" s="221"/>
      <c r="O774" s="221"/>
      <c r="P774" s="221"/>
      <c r="Q774" s="221"/>
      <c r="R774" s="221"/>
      <c r="S774" s="221"/>
      <c r="T774" s="221"/>
      <c r="U774" s="221"/>
      <c r="V774" s="221"/>
      <c r="W774" s="221"/>
      <c r="X774" s="221"/>
    </row>
    <row r="775" spans="1:24" ht="14" x14ac:dyDescent="0.3">
      <c r="A775" s="221"/>
      <c r="B775" s="221"/>
      <c r="C775" s="221"/>
      <c r="D775" s="221"/>
      <c r="E775" s="221"/>
      <c r="F775" s="221"/>
      <c r="G775" s="221"/>
      <c r="H775" s="221"/>
      <c r="I775" s="221"/>
      <c r="J775" s="221"/>
      <c r="K775" s="221"/>
      <c r="L775" s="221"/>
      <c r="M775" s="221"/>
      <c r="N775" s="221"/>
      <c r="O775" s="221"/>
      <c r="P775" s="221"/>
      <c r="Q775" s="221"/>
      <c r="R775" s="221"/>
      <c r="S775" s="221"/>
      <c r="T775" s="221"/>
      <c r="U775" s="221"/>
      <c r="V775" s="221"/>
      <c r="W775" s="221"/>
      <c r="X775" s="221"/>
    </row>
    <row r="776" spans="1:24" ht="14" x14ac:dyDescent="0.3">
      <c r="A776" s="221"/>
      <c r="B776" s="221"/>
      <c r="C776" s="221"/>
      <c r="D776" s="221"/>
      <c r="E776" s="221"/>
      <c r="F776" s="221"/>
      <c r="G776" s="221"/>
      <c r="H776" s="221"/>
      <c r="I776" s="221"/>
      <c r="J776" s="221"/>
      <c r="K776" s="221"/>
      <c r="L776" s="221"/>
      <c r="M776" s="221"/>
      <c r="N776" s="221"/>
      <c r="O776" s="221"/>
      <c r="P776" s="221"/>
      <c r="Q776" s="221"/>
      <c r="R776" s="221"/>
      <c r="S776" s="221"/>
      <c r="T776" s="221"/>
      <c r="U776" s="221"/>
      <c r="V776" s="221"/>
      <c r="W776" s="221"/>
      <c r="X776" s="221"/>
    </row>
    <row r="777" spans="1:24" ht="14" x14ac:dyDescent="0.3">
      <c r="A777" s="221"/>
      <c r="B777" s="221"/>
      <c r="C777" s="221"/>
      <c r="D777" s="221"/>
      <c r="E777" s="221"/>
      <c r="F777" s="221"/>
      <c r="G777" s="221"/>
      <c r="H777" s="221"/>
      <c r="I777" s="221"/>
      <c r="J777" s="221"/>
      <c r="K777" s="221"/>
      <c r="L777" s="221"/>
      <c r="M777" s="221"/>
      <c r="N777" s="221"/>
      <c r="O777" s="221"/>
      <c r="P777" s="221"/>
      <c r="Q777" s="221"/>
      <c r="R777" s="221"/>
      <c r="S777" s="221"/>
      <c r="T777" s="221"/>
      <c r="U777" s="221"/>
      <c r="V777" s="221"/>
      <c r="W777" s="221"/>
      <c r="X777" s="221"/>
    </row>
    <row r="778" spans="1:24" ht="14" x14ac:dyDescent="0.3">
      <c r="A778" s="221"/>
      <c r="B778" s="221"/>
      <c r="C778" s="221"/>
      <c r="D778" s="221"/>
      <c r="E778" s="221"/>
      <c r="F778" s="221"/>
      <c r="G778" s="221"/>
      <c r="H778" s="221"/>
      <c r="I778" s="221"/>
      <c r="J778" s="221"/>
      <c r="K778" s="221"/>
      <c r="L778" s="221"/>
      <c r="M778" s="221"/>
      <c r="N778" s="221"/>
      <c r="O778" s="221"/>
      <c r="P778" s="221"/>
      <c r="Q778" s="221"/>
      <c r="R778" s="221"/>
      <c r="S778" s="221"/>
      <c r="T778" s="221"/>
      <c r="U778" s="221"/>
      <c r="V778" s="221"/>
      <c r="W778" s="221"/>
      <c r="X778" s="221"/>
    </row>
    <row r="779" spans="1:24" ht="14" x14ac:dyDescent="0.3">
      <c r="A779" s="221"/>
      <c r="B779" s="221"/>
      <c r="C779" s="221"/>
      <c r="D779" s="221"/>
      <c r="E779" s="221"/>
      <c r="F779" s="221"/>
      <c r="G779" s="221"/>
      <c r="H779" s="221"/>
      <c r="I779" s="221"/>
      <c r="J779" s="221"/>
      <c r="K779" s="221"/>
      <c r="L779" s="221"/>
      <c r="M779" s="221"/>
      <c r="N779" s="221"/>
      <c r="O779" s="221"/>
      <c r="P779" s="221"/>
      <c r="Q779" s="221"/>
      <c r="R779" s="221"/>
      <c r="S779" s="221"/>
      <c r="T779" s="221"/>
      <c r="U779" s="221"/>
      <c r="V779" s="221"/>
      <c r="W779" s="221"/>
      <c r="X779" s="221"/>
    </row>
    <row r="780" spans="1:24" ht="14" x14ac:dyDescent="0.3">
      <c r="A780" s="221"/>
      <c r="B780" s="221"/>
      <c r="C780" s="221"/>
      <c r="D780" s="221"/>
      <c r="E780" s="221"/>
      <c r="F780" s="221"/>
      <c r="G780" s="221"/>
      <c r="H780" s="221"/>
      <c r="I780" s="221"/>
      <c r="J780" s="221"/>
      <c r="K780" s="221"/>
      <c r="L780" s="221"/>
      <c r="M780" s="221"/>
      <c r="N780" s="221"/>
      <c r="O780" s="221"/>
      <c r="P780" s="221"/>
      <c r="Q780" s="221"/>
      <c r="R780" s="221"/>
      <c r="S780" s="221"/>
      <c r="T780" s="221"/>
      <c r="U780" s="221"/>
      <c r="V780" s="221"/>
      <c r="W780" s="221"/>
      <c r="X780" s="221"/>
    </row>
    <row r="781" spans="1:24" ht="14" x14ac:dyDescent="0.3">
      <c r="A781" s="221"/>
      <c r="B781" s="221"/>
      <c r="C781" s="221"/>
      <c r="D781" s="221"/>
      <c r="E781" s="221"/>
      <c r="F781" s="221"/>
      <c r="G781" s="221"/>
      <c r="H781" s="221"/>
      <c r="I781" s="221"/>
      <c r="J781" s="221"/>
      <c r="K781" s="221"/>
      <c r="L781" s="221"/>
      <c r="M781" s="221"/>
      <c r="N781" s="221"/>
      <c r="O781" s="221"/>
      <c r="P781" s="221"/>
      <c r="Q781" s="221"/>
      <c r="R781" s="221"/>
      <c r="S781" s="221"/>
      <c r="T781" s="221"/>
      <c r="U781" s="221"/>
      <c r="V781" s="221"/>
      <c r="W781" s="221"/>
      <c r="X781" s="221"/>
    </row>
    <row r="782" spans="1:24" ht="14" x14ac:dyDescent="0.3">
      <c r="A782" s="221"/>
      <c r="B782" s="221"/>
      <c r="C782" s="221"/>
      <c r="D782" s="221"/>
      <c r="E782" s="221"/>
      <c r="F782" s="221"/>
      <c r="G782" s="221"/>
      <c r="H782" s="221"/>
      <c r="I782" s="221"/>
      <c r="J782" s="221"/>
      <c r="K782" s="221"/>
      <c r="L782" s="221"/>
      <c r="M782" s="221"/>
      <c r="N782" s="221"/>
      <c r="O782" s="221"/>
      <c r="P782" s="221"/>
      <c r="Q782" s="221"/>
      <c r="R782" s="221"/>
      <c r="S782" s="221"/>
      <c r="T782" s="221"/>
      <c r="U782" s="221"/>
      <c r="V782" s="221"/>
      <c r="W782" s="221"/>
      <c r="X782" s="221"/>
    </row>
    <row r="783" spans="1:24" ht="14" x14ac:dyDescent="0.3">
      <c r="A783" s="221"/>
      <c r="B783" s="221"/>
      <c r="C783" s="221"/>
      <c r="D783" s="221"/>
      <c r="E783" s="221"/>
      <c r="F783" s="221"/>
      <c r="G783" s="221"/>
      <c r="H783" s="221"/>
      <c r="I783" s="221"/>
      <c r="J783" s="221"/>
      <c r="K783" s="221"/>
      <c r="L783" s="221"/>
      <c r="M783" s="221"/>
      <c r="N783" s="221"/>
      <c r="O783" s="221"/>
      <c r="P783" s="221"/>
      <c r="Q783" s="221"/>
      <c r="R783" s="221"/>
      <c r="S783" s="221"/>
      <c r="T783" s="221"/>
      <c r="U783" s="221"/>
      <c r="V783" s="221"/>
      <c r="W783" s="221"/>
      <c r="X783" s="221"/>
    </row>
    <row r="784" spans="1:24" ht="14" x14ac:dyDescent="0.3">
      <c r="A784" s="221"/>
      <c r="B784" s="221"/>
      <c r="C784" s="221"/>
      <c r="D784" s="221"/>
      <c r="E784" s="221"/>
      <c r="F784" s="221"/>
      <c r="G784" s="221"/>
      <c r="H784" s="221"/>
      <c r="I784" s="221"/>
      <c r="J784" s="221"/>
      <c r="K784" s="221"/>
      <c r="L784" s="221"/>
      <c r="M784" s="221"/>
      <c r="N784" s="221"/>
      <c r="O784" s="221"/>
      <c r="P784" s="221"/>
      <c r="Q784" s="221"/>
      <c r="R784" s="221"/>
      <c r="S784" s="221"/>
      <c r="T784" s="221"/>
      <c r="U784" s="221"/>
      <c r="V784" s="221"/>
      <c r="W784" s="221"/>
      <c r="X784" s="221"/>
    </row>
    <row r="785" spans="1:24" ht="14" x14ac:dyDescent="0.3">
      <c r="A785" s="221"/>
      <c r="B785" s="221"/>
      <c r="C785" s="221"/>
      <c r="D785" s="221"/>
      <c r="E785" s="221"/>
      <c r="F785" s="221"/>
      <c r="G785" s="221"/>
      <c r="H785" s="221"/>
      <c r="I785" s="221"/>
      <c r="J785" s="221"/>
      <c r="K785" s="221"/>
      <c r="L785" s="221"/>
      <c r="M785" s="221"/>
      <c r="N785" s="221"/>
      <c r="O785" s="221"/>
      <c r="P785" s="221"/>
      <c r="Q785" s="221"/>
      <c r="R785" s="221"/>
      <c r="S785" s="221"/>
      <c r="T785" s="221"/>
      <c r="U785" s="221"/>
      <c r="V785" s="221"/>
      <c r="W785" s="221"/>
      <c r="X785" s="221"/>
    </row>
    <row r="786" spans="1:24" ht="14" x14ac:dyDescent="0.3">
      <c r="A786" s="221"/>
      <c r="B786" s="221"/>
      <c r="C786" s="221"/>
      <c r="D786" s="221"/>
      <c r="E786" s="221"/>
      <c r="F786" s="221"/>
      <c r="G786" s="221"/>
      <c r="H786" s="221"/>
      <c r="I786" s="221"/>
      <c r="J786" s="221"/>
      <c r="K786" s="221"/>
      <c r="L786" s="221"/>
      <c r="M786" s="221"/>
      <c r="N786" s="221"/>
      <c r="O786" s="221"/>
      <c r="P786" s="221"/>
      <c r="Q786" s="221"/>
      <c r="R786" s="221"/>
      <c r="S786" s="221"/>
      <c r="T786" s="221"/>
      <c r="U786" s="221"/>
      <c r="V786" s="221"/>
      <c r="W786" s="221"/>
      <c r="X786" s="221"/>
    </row>
    <row r="787" spans="1:24" ht="14" x14ac:dyDescent="0.3">
      <c r="A787" s="221"/>
      <c r="B787" s="221"/>
      <c r="C787" s="221"/>
      <c r="D787" s="221"/>
      <c r="E787" s="221"/>
      <c r="F787" s="221"/>
      <c r="G787" s="221"/>
      <c r="H787" s="221"/>
      <c r="I787" s="221"/>
      <c r="J787" s="221"/>
      <c r="K787" s="221"/>
      <c r="L787" s="221"/>
      <c r="M787" s="221"/>
      <c r="N787" s="221"/>
      <c r="O787" s="221"/>
      <c r="P787" s="221"/>
      <c r="Q787" s="221"/>
      <c r="R787" s="221"/>
      <c r="S787" s="221"/>
      <c r="T787" s="221"/>
      <c r="U787" s="221"/>
      <c r="V787" s="221"/>
      <c r="W787" s="221"/>
      <c r="X787" s="221"/>
    </row>
    <row r="788" spans="1:24" ht="14" x14ac:dyDescent="0.3">
      <c r="A788" s="221"/>
      <c r="B788" s="221"/>
      <c r="C788" s="221"/>
      <c r="D788" s="221"/>
      <c r="E788" s="221"/>
      <c r="F788" s="221"/>
      <c r="G788" s="221"/>
      <c r="H788" s="221"/>
      <c r="I788" s="221"/>
      <c r="J788" s="221"/>
      <c r="K788" s="221"/>
      <c r="L788" s="221"/>
      <c r="M788" s="221"/>
      <c r="N788" s="221"/>
      <c r="O788" s="221"/>
      <c r="P788" s="221"/>
      <c r="Q788" s="221"/>
      <c r="R788" s="221"/>
      <c r="S788" s="221"/>
      <c r="T788" s="221"/>
      <c r="U788" s="221"/>
      <c r="V788" s="221"/>
      <c r="W788" s="221"/>
      <c r="X788" s="221"/>
    </row>
    <row r="789" spans="1:24" ht="14" x14ac:dyDescent="0.3">
      <c r="A789" s="221"/>
      <c r="B789" s="221"/>
      <c r="C789" s="221"/>
      <c r="D789" s="221"/>
      <c r="E789" s="221"/>
      <c r="F789" s="221"/>
      <c r="G789" s="221"/>
      <c r="H789" s="221"/>
      <c r="I789" s="221"/>
      <c r="J789" s="221"/>
      <c r="K789" s="221"/>
      <c r="L789" s="221"/>
      <c r="M789" s="221"/>
      <c r="N789" s="221"/>
      <c r="O789" s="221"/>
      <c r="P789" s="221"/>
      <c r="Q789" s="221"/>
      <c r="R789" s="221"/>
      <c r="S789" s="221"/>
      <c r="T789" s="221"/>
      <c r="U789" s="221"/>
      <c r="V789" s="221"/>
      <c r="W789" s="221"/>
      <c r="X789" s="221"/>
    </row>
    <row r="790" spans="1:24" ht="14" x14ac:dyDescent="0.3">
      <c r="A790" s="221"/>
      <c r="B790" s="221"/>
      <c r="C790" s="221"/>
      <c r="D790" s="221"/>
      <c r="E790" s="221"/>
      <c r="F790" s="221"/>
      <c r="G790" s="221"/>
      <c r="H790" s="221"/>
      <c r="I790" s="221"/>
      <c r="J790" s="221"/>
      <c r="K790" s="221"/>
      <c r="L790" s="221"/>
      <c r="M790" s="221"/>
      <c r="N790" s="221"/>
      <c r="O790" s="221"/>
      <c r="P790" s="221"/>
      <c r="Q790" s="221"/>
      <c r="R790" s="221"/>
      <c r="S790" s="221"/>
      <c r="T790" s="221"/>
      <c r="U790" s="221"/>
      <c r="V790" s="221"/>
      <c r="W790" s="221"/>
      <c r="X790" s="221"/>
    </row>
    <row r="791" spans="1:24" ht="14" x14ac:dyDescent="0.3">
      <c r="A791" s="221"/>
      <c r="B791" s="221"/>
      <c r="C791" s="221"/>
      <c r="D791" s="221"/>
      <c r="E791" s="221"/>
      <c r="F791" s="221"/>
      <c r="G791" s="221"/>
      <c r="H791" s="221"/>
      <c r="I791" s="221"/>
      <c r="J791" s="221"/>
      <c r="K791" s="221"/>
      <c r="L791" s="221"/>
      <c r="M791" s="221"/>
      <c r="N791" s="221"/>
      <c r="O791" s="221"/>
      <c r="P791" s="221"/>
      <c r="Q791" s="221"/>
      <c r="R791" s="221"/>
      <c r="S791" s="221"/>
      <c r="T791" s="221"/>
      <c r="U791" s="221"/>
      <c r="V791" s="221"/>
      <c r="W791" s="221"/>
      <c r="X791" s="221"/>
    </row>
    <row r="792" spans="1:24" ht="14" x14ac:dyDescent="0.3">
      <c r="A792" s="221"/>
      <c r="B792" s="221"/>
      <c r="C792" s="221"/>
      <c r="D792" s="221"/>
      <c r="E792" s="221"/>
      <c r="F792" s="221"/>
      <c r="G792" s="221"/>
      <c r="H792" s="221"/>
      <c r="I792" s="221"/>
      <c r="J792" s="221"/>
      <c r="K792" s="221"/>
      <c r="L792" s="221"/>
      <c r="M792" s="221"/>
      <c r="N792" s="221"/>
      <c r="O792" s="221"/>
      <c r="P792" s="221"/>
      <c r="Q792" s="221"/>
      <c r="R792" s="221"/>
      <c r="S792" s="221"/>
      <c r="T792" s="221"/>
      <c r="U792" s="221"/>
      <c r="V792" s="221"/>
      <c r="W792" s="221"/>
      <c r="X792" s="221"/>
    </row>
    <row r="793" spans="1:24" ht="14" x14ac:dyDescent="0.3">
      <c r="A793" s="221"/>
      <c r="B793" s="221"/>
      <c r="C793" s="221"/>
      <c r="D793" s="221"/>
      <c r="E793" s="221"/>
      <c r="F793" s="221"/>
      <c r="G793" s="221"/>
      <c r="H793" s="221"/>
      <c r="I793" s="221"/>
      <c r="J793" s="221"/>
      <c r="K793" s="221"/>
      <c r="L793" s="221"/>
      <c r="M793" s="221"/>
      <c r="N793" s="221"/>
      <c r="O793" s="221"/>
      <c r="P793" s="221"/>
      <c r="Q793" s="221"/>
      <c r="R793" s="221"/>
      <c r="S793" s="221"/>
      <c r="T793" s="221"/>
      <c r="U793" s="221"/>
      <c r="V793" s="221"/>
      <c r="W793" s="221"/>
      <c r="X793" s="221"/>
    </row>
    <row r="794" spans="1:24" ht="14" x14ac:dyDescent="0.3">
      <c r="A794" s="221"/>
      <c r="B794" s="221"/>
      <c r="C794" s="221"/>
      <c r="D794" s="221"/>
      <c r="E794" s="221"/>
      <c r="F794" s="221"/>
      <c r="G794" s="221"/>
      <c r="H794" s="221"/>
      <c r="I794" s="221"/>
      <c r="J794" s="221"/>
      <c r="K794" s="221"/>
      <c r="L794" s="221"/>
      <c r="M794" s="221"/>
      <c r="N794" s="221"/>
      <c r="O794" s="221"/>
      <c r="P794" s="221"/>
      <c r="Q794" s="221"/>
      <c r="R794" s="221"/>
      <c r="S794" s="221"/>
      <c r="T794" s="221"/>
      <c r="U794" s="221"/>
      <c r="V794" s="221"/>
      <c r="W794" s="221"/>
      <c r="X794" s="221"/>
    </row>
    <row r="795" spans="1:24" ht="14" x14ac:dyDescent="0.3">
      <c r="A795" s="221"/>
      <c r="B795" s="221"/>
      <c r="C795" s="221"/>
      <c r="D795" s="221"/>
      <c r="E795" s="221"/>
      <c r="F795" s="221"/>
      <c r="G795" s="221"/>
      <c r="H795" s="221"/>
      <c r="I795" s="221"/>
      <c r="J795" s="221"/>
      <c r="K795" s="221"/>
      <c r="L795" s="221"/>
      <c r="M795" s="221"/>
      <c r="N795" s="221"/>
      <c r="O795" s="221"/>
      <c r="P795" s="221"/>
      <c r="Q795" s="221"/>
      <c r="R795" s="221"/>
      <c r="S795" s="221"/>
      <c r="T795" s="221"/>
      <c r="U795" s="221"/>
      <c r="V795" s="221"/>
      <c r="W795" s="221"/>
      <c r="X795" s="221"/>
    </row>
    <row r="796" spans="1:24" ht="14" x14ac:dyDescent="0.3">
      <c r="A796" s="221"/>
      <c r="B796" s="221"/>
      <c r="C796" s="221"/>
      <c r="D796" s="221"/>
      <c r="E796" s="221"/>
      <c r="F796" s="221"/>
      <c r="G796" s="221"/>
      <c r="H796" s="221"/>
      <c r="I796" s="221"/>
      <c r="J796" s="221"/>
      <c r="K796" s="221"/>
      <c r="L796" s="221"/>
      <c r="M796" s="221"/>
      <c r="N796" s="221"/>
      <c r="O796" s="221"/>
      <c r="P796" s="221"/>
      <c r="Q796" s="221"/>
      <c r="R796" s="221"/>
      <c r="S796" s="221"/>
      <c r="T796" s="221"/>
      <c r="U796" s="221"/>
      <c r="V796" s="221"/>
      <c r="W796" s="221"/>
      <c r="X796" s="221"/>
    </row>
    <row r="797" spans="1:24" ht="14" x14ac:dyDescent="0.3">
      <c r="A797" s="221"/>
      <c r="B797" s="221"/>
      <c r="C797" s="221"/>
      <c r="D797" s="221"/>
      <c r="E797" s="221"/>
      <c r="F797" s="221"/>
      <c r="G797" s="221"/>
      <c r="H797" s="221"/>
      <c r="I797" s="221"/>
      <c r="J797" s="221"/>
      <c r="K797" s="221"/>
      <c r="L797" s="221"/>
      <c r="M797" s="221"/>
      <c r="N797" s="221"/>
      <c r="O797" s="221"/>
      <c r="P797" s="221"/>
      <c r="Q797" s="221"/>
      <c r="R797" s="221"/>
      <c r="S797" s="221"/>
      <c r="T797" s="221"/>
      <c r="U797" s="221"/>
      <c r="V797" s="221"/>
      <c r="W797" s="221"/>
      <c r="X797" s="221"/>
    </row>
    <row r="798" spans="1:24" ht="14" x14ac:dyDescent="0.3">
      <c r="A798" s="221"/>
      <c r="B798" s="221"/>
      <c r="C798" s="221"/>
      <c r="D798" s="221"/>
      <c r="E798" s="221"/>
      <c r="F798" s="221"/>
      <c r="G798" s="221"/>
      <c r="H798" s="221"/>
      <c r="I798" s="221"/>
      <c r="J798" s="221"/>
      <c r="K798" s="221"/>
      <c r="L798" s="221"/>
      <c r="M798" s="221"/>
      <c r="N798" s="221"/>
      <c r="O798" s="221"/>
      <c r="P798" s="221"/>
      <c r="Q798" s="221"/>
      <c r="R798" s="221"/>
      <c r="S798" s="221"/>
      <c r="T798" s="221"/>
      <c r="U798" s="221"/>
      <c r="V798" s="221"/>
      <c r="W798" s="221"/>
      <c r="X798" s="221"/>
    </row>
    <row r="799" spans="1:24" ht="14" x14ac:dyDescent="0.3">
      <c r="A799" s="221"/>
      <c r="B799" s="221"/>
      <c r="C799" s="221"/>
      <c r="D799" s="221"/>
      <c r="E799" s="221"/>
      <c r="F799" s="221"/>
      <c r="G799" s="221"/>
      <c r="H799" s="221"/>
      <c r="I799" s="221"/>
      <c r="J799" s="221"/>
      <c r="K799" s="221"/>
      <c r="L799" s="221"/>
      <c r="M799" s="221"/>
      <c r="N799" s="221"/>
      <c r="O799" s="221"/>
      <c r="P799" s="221"/>
      <c r="Q799" s="221"/>
      <c r="R799" s="221"/>
      <c r="S799" s="221"/>
      <c r="T799" s="221"/>
      <c r="U799" s="221"/>
      <c r="V799" s="221"/>
      <c r="W799" s="221"/>
      <c r="X799" s="221"/>
    </row>
    <row r="800" spans="1:24" ht="14" x14ac:dyDescent="0.3">
      <c r="A800" s="221"/>
      <c r="B800" s="221"/>
      <c r="C800" s="221"/>
      <c r="D800" s="221"/>
      <c r="E800" s="221"/>
      <c r="F800" s="221"/>
      <c r="G800" s="221"/>
      <c r="H800" s="221"/>
      <c r="I800" s="221"/>
      <c r="J800" s="221"/>
      <c r="K800" s="221"/>
      <c r="L800" s="221"/>
      <c r="M800" s="221"/>
      <c r="N800" s="221"/>
      <c r="O800" s="221"/>
      <c r="P800" s="221"/>
      <c r="Q800" s="221"/>
      <c r="R800" s="221"/>
      <c r="S800" s="221"/>
      <c r="T800" s="221"/>
      <c r="U800" s="221"/>
      <c r="V800" s="221"/>
      <c r="W800" s="221"/>
      <c r="X800" s="221"/>
    </row>
    <row r="801" spans="1:24" ht="14" x14ac:dyDescent="0.3">
      <c r="A801" s="221"/>
      <c r="B801" s="221"/>
      <c r="C801" s="221"/>
      <c r="D801" s="221"/>
      <c r="E801" s="221"/>
      <c r="F801" s="221"/>
      <c r="G801" s="221"/>
      <c r="H801" s="221"/>
      <c r="I801" s="221"/>
      <c r="J801" s="221"/>
      <c r="K801" s="221"/>
      <c r="L801" s="221"/>
      <c r="M801" s="221"/>
      <c r="N801" s="221"/>
      <c r="O801" s="221"/>
      <c r="P801" s="221"/>
      <c r="Q801" s="221"/>
      <c r="R801" s="221"/>
      <c r="S801" s="221"/>
      <c r="T801" s="221"/>
      <c r="U801" s="221"/>
      <c r="V801" s="221"/>
      <c r="W801" s="221"/>
      <c r="X801" s="221"/>
    </row>
    <row r="802" spans="1:24" ht="14" x14ac:dyDescent="0.3">
      <c r="A802" s="221"/>
      <c r="B802" s="221"/>
      <c r="C802" s="221"/>
      <c r="D802" s="221"/>
      <c r="E802" s="221"/>
      <c r="F802" s="221"/>
      <c r="G802" s="221"/>
      <c r="H802" s="221"/>
      <c r="I802" s="221"/>
      <c r="J802" s="221"/>
      <c r="K802" s="221"/>
      <c r="L802" s="221"/>
      <c r="M802" s="221"/>
      <c r="N802" s="221"/>
      <c r="O802" s="221"/>
      <c r="P802" s="221"/>
      <c r="Q802" s="221"/>
      <c r="R802" s="221"/>
      <c r="S802" s="221"/>
      <c r="T802" s="221"/>
      <c r="U802" s="221"/>
      <c r="V802" s="221"/>
      <c r="W802" s="221"/>
      <c r="X802" s="221"/>
    </row>
    <row r="803" spans="1:24" ht="14" x14ac:dyDescent="0.3">
      <c r="A803" s="221"/>
      <c r="B803" s="221"/>
      <c r="C803" s="221"/>
      <c r="D803" s="221"/>
      <c r="E803" s="221"/>
      <c r="F803" s="221"/>
      <c r="G803" s="221"/>
      <c r="H803" s="221"/>
      <c r="I803" s="221"/>
      <c r="J803" s="221"/>
      <c r="K803" s="221"/>
      <c r="L803" s="221"/>
      <c r="M803" s="221"/>
      <c r="N803" s="221"/>
      <c r="O803" s="221"/>
      <c r="P803" s="221"/>
      <c r="Q803" s="221"/>
      <c r="R803" s="221"/>
      <c r="S803" s="221"/>
      <c r="T803" s="221"/>
      <c r="U803" s="221"/>
      <c r="V803" s="221"/>
      <c r="W803" s="221"/>
      <c r="X803" s="221"/>
    </row>
    <row r="804" spans="1:24" ht="14" x14ac:dyDescent="0.3">
      <c r="A804" s="221"/>
      <c r="B804" s="221"/>
      <c r="C804" s="221"/>
      <c r="D804" s="221"/>
      <c r="E804" s="221"/>
      <c r="F804" s="221"/>
      <c r="G804" s="221"/>
      <c r="H804" s="221"/>
      <c r="I804" s="221"/>
      <c r="J804" s="221"/>
      <c r="K804" s="221"/>
      <c r="L804" s="221"/>
      <c r="M804" s="221"/>
      <c r="N804" s="221"/>
      <c r="O804" s="221"/>
      <c r="P804" s="221"/>
      <c r="Q804" s="221"/>
      <c r="R804" s="221"/>
      <c r="S804" s="221"/>
      <c r="T804" s="221"/>
      <c r="U804" s="221"/>
      <c r="V804" s="221"/>
      <c r="W804" s="221"/>
      <c r="X804" s="221"/>
    </row>
    <row r="805" spans="1:24" ht="14" x14ac:dyDescent="0.3">
      <c r="A805" s="221"/>
      <c r="B805" s="221"/>
      <c r="C805" s="221"/>
      <c r="D805" s="221"/>
      <c r="E805" s="221"/>
      <c r="F805" s="221"/>
      <c r="G805" s="221"/>
      <c r="H805" s="221"/>
      <c r="I805" s="221"/>
      <c r="J805" s="221"/>
      <c r="K805" s="221"/>
      <c r="L805" s="221"/>
      <c r="M805" s="221"/>
      <c r="N805" s="221"/>
      <c r="O805" s="221"/>
      <c r="P805" s="221"/>
      <c r="Q805" s="221"/>
      <c r="R805" s="221"/>
      <c r="S805" s="221"/>
      <c r="T805" s="221"/>
      <c r="U805" s="221"/>
      <c r="V805" s="221"/>
      <c r="W805" s="221"/>
      <c r="X805" s="221"/>
    </row>
    <row r="806" spans="1:24" ht="14" x14ac:dyDescent="0.3">
      <c r="A806" s="221"/>
      <c r="B806" s="221"/>
      <c r="C806" s="221"/>
      <c r="D806" s="221"/>
      <c r="E806" s="221"/>
      <c r="F806" s="221"/>
      <c r="G806" s="221"/>
      <c r="H806" s="221"/>
      <c r="I806" s="221"/>
      <c r="J806" s="221"/>
      <c r="K806" s="221"/>
      <c r="L806" s="221"/>
      <c r="M806" s="221"/>
      <c r="N806" s="221"/>
      <c r="O806" s="221"/>
      <c r="P806" s="221"/>
      <c r="Q806" s="221"/>
      <c r="R806" s="221"/>
      <c r="S806" s="221"/>
      <c r="T806" s="221"/>
      <c r="U806" s="221"/>
      <c r="V806" s="221"/>
      <c r="W806" s="221"/>
      <c r="X806" s="221"/>
    </row>
    <row r="807" spans="1:24" ht="14" x14ac:dyDescent="0.3">
      <c r="A807" s="221"/>
      <c r="B807" s="221"/>
      <c r="C807" s="221"/>
      <c r="D807" s="221"/>
      <c r="E807" s="221"/>
      <c r="F807" s="221"/>
      <c r="G807" s="221"/>
      <c r="H807" s="221"/>
      <c r="I807" s="221"/>
      <c r="J807" s="221"/>
      <c r="K807" s="221"/>
      <c r="L807" s="221"/>
      <c r="M807" s="221"/>
      <c r="N807" s="221"/>
      <c r="O807" s="221"/>
      <c r="P807" s="221"/>
      <c r="Q807" s="221"/>
      <c r="R807" s="221"/>
      <c r="S807" s="221"/>
      <c r="T807" s="221"/>
      <c r="U807" s="221"/>
      <c r="V807" s="221"/>
      <c r="W807" s="221"/>
      <c r="X807" s="221"/>
    </row>
    <row r="808" spans="1:24" ht="14" x14ac:dyDescent="0.3">
      <c r="A808" s="221"/>
      <c r="B808" s="221"/>
      <c r="C808" s="221"/>
      <c r="D808" s="221"/>
      <c r="E808" s="221"/>
      <c r="F808" s="221"/>
      <c r="G808" s="221"/>
      <c r="H808" s="221"/>
      <c r="I808" s="221"/>
      <c r="J808" s="221"/>
      <c r="K808" s="221"/>
      <c r="L808" s="221"/>
      <c r="M808" s="221"/>
      <c r="N808" s="221"/>
      <c r="O808" s="221"/>
      <c r="P808" s="221"/>
      <c r="Q808" s="221"/>
      <c r="R808" s="221"/>
      <c r="S808" s="221"/>
      <c r="T808" s="221"/>
      <c r="U808" s="221"/>
      <c r="V808" s="221"/>
      <c r="W808" s="221"/>
      <c r="X808" s="221"/>
    </row>
    <row r="809" spans="1:24" ht="14" x14ac:dyDescent="0.3">
      <c r="A809" s="221"/>
      <c r="B809" s="221"/>
      <c r="C809" s="221"/>
      <c r="D809" s="221"/>
      <c r="E809" s="221"/>
      <c r="F809" s="221"/>
      <c r="G809" s="221"/>
      <c r="H809" s="221"/>
      <c r="I809" s="221"/>
      <c r="J809" s="221"/>
      <c r="K809" s="221"/>
      <c r="L809" s="221"/>
      <c r="M809" s="221"/>
      <c r="N809" s="221"/>
      <c r="O809" s="221"/>
      <c r="P809" s="221"/>
      <c r="Q809" s="221"/>
      <c r="R809" s="221"/>
      <c r="S809" s="221"/>
      <c r="T809" s="221"/>
      <c r="U809" s="221"/>
      <c r="V809" s="221"/>
      <c r="W809" s="221"/>
      <c r="X809" s="221"/>
    </row>
    <row r="810" spans="1:24" ht="14" x14ac:dyDescent="0.3">
      <c r="A810" s="221"/>
      <c r="B810" s="221"/>
      <c r="C810" s="221"/>
      <c r="D810" s="221"/>
      <c r="E810" s="221"/>
      <c r="F810" s="221"/>
      <c r="G810" s="221"/>
      <c r="H810" s="221"/>
      <c r="I810" s="221"/>
      <c r="J810" s="221"/>
      <c r="K810" s="221"/>
      <c r="L810" s="221"/>
      <c r="M810" s="221"/>
      <c r="N810" s="221"/>
      <c r="O810" s="221"/>
      <c r="P810" s="221"/>
      <c r="Q810" s="221"/>
      <c r="R810" s="221"/>
      <c r="S810" s="221"/>
      <c r="T810" s="221"/>
      <c r="U810" s="221"/>
      <c r="V810" s="221"/>
      <c r="W810" s="221"/>
      <c r="X810" s="221"/>
    </row>
    <row r="811" spans="1:24" ht="14" x14ac:dyDescent="0.3">
      <c r="A811" s="221"/>
      <c r="B811" s="221"/>
      <c r="C811" s="221"/>
      <c r="D811" s="221"/>
      <c r="E811" s="221"/>
      <c r="F811" s="221"/>
      <c r="G811" s="221"/>
      <c r="H811" s="221"/>
      <c r="I811" s="221"/>
      <c r="J811" s="221"/>
      <c r="K811" s="221"/>
      <c r="L811" s="221"/>
      <c r="M811" s="221"/>
      <c r="N811" s="221"/>
      <c r="O811" s="221"/>
      <c r="P811" s="221"/>
      <c r="Q811" s="221"/>
      <c r="R811" s="221"/>
      <c r="S811" s="221"/>
      <c r="T811" s="221"/>
      <c r="U811" s="221"/>
      <c r="V811" s="221"/>
      <c r="W811" s="221"/>
      <c r="X811" s="221"/>
    </row>
    <row r="812" spans="1:24" ht="14" x14ac:dyDescent="0.3">
      <c r="A812" s="221"/>
      <c r="B812" s="221"/>
      <c r="C812" s="221"/>
      <c r="D812" s="221"/>
      <c r="E812" s="221"/>
      <c r="F812" s="221"/>
      <c r="G812" s="221"/>
      <c r="H812" s="221"/>
      <c r="I812" s="221"/>
      <c r="J812" s="221"/>
      <c r="K812" s="221"/>
      <c r="L812" s="221"/>
      <c r="M812" s="221"/>
      <c r="N812" s="221"/>
      <c r="O812" s="221"/>
      <c r="P812" s="221"/>
      <c r="Q812" s="221"/>
      <c r="R812" s="221"/>
      <c r="S812" s="221"/>
      <c r="T812" s="221"/>
      <c r="U812" s="221"/>
      <c r="V812" s="221"/>
      <c r="W812" s="221"/>
      <c r="X812" s="221"/>
    </row>
    <row r="813" spans="1:24" ht="14" x14ac:dyDescent="0.3">
      <c r="A813" s="221"/>
      <c r="B813" s="221"/>
      <c r="C813" s="221"/>
      <c r="D813" s="221"/>
      <c r="E813" s="221"/>
      <c r="F813" s="221"/>
      <c r="G813" s="221"/>
      <c r="H813" s="221"/>
      <c r="I813" s="221"/>
      <c r="J813" s="221"/>
      <c r="K813" s="221"/>
      <c r="L813" s="221"/>
      <c r="M813" s="221"/>
      <c r="N813" s="221"/>
      <c r="O813" s="221"/>
      <c r="P813" s="221"/>
      <c r="Q813" s="221"/>
      <c r="R813" s="221"/>
      <c r="S813" s="221"/>
      <c r="T813" s="221"/>
      <c r="U813" s="221"/>
      <c r="V813" s="221"/>
      <c r="W813" s="221"/>
      <c r="X813" s="221"/>
    </row>
    <row r="814" spans="1:24" ht="14" x14ac:dyDescent="0.3">
      <c r="A814" s="221"/>
      <c r="B814" s="221"/>
      <c r="C814" s="221"/>
      <c r="D814" s="221"/>
      <c r="E814" s="221"/>
      <c r="F814" s="221"/>
      <c r="G814" s="221"/>
      <c r="H814" s="221"/>
      <c r="I814" s="221"/>
      <c r="J814" s="221"/>
      <c r="K814" s="221"/>
      <c r="L814" s="221"/>
      <c r="M814" s="221"/>
      <c r="N814" s="221"/>
      <c r="O814" s="221"/>
      <c r="P814" s="221"/>
      <c r="Q814" s="221"/>
      <c r="R814" s="221"/>
      <c r="S814" s="221"/>
      <c r="T814" s="221"/>
      <c r="U814" s="221"/>
      <c r="V814" s="221"/>
      <c r="W814" s="221"/>
      <c r="X814" s="221"/>
    </row>
    <row r="815" spans="1:24" ht="14" x14ac:dyDescent="0.3">
      <c r="A815" s="221"/>
      <c r="B815" s="221"/>
      <c r="C815" s="221"/>
      <c r="D815" s="221"/>
      <c r="E815" s="221"/>
      <c r="F815" s="221"/>
      <c r="G815" s="221"/>
      <c r="H815" s="221"/>
      <c r="I815" s="221"/>
      <c r="J815" s="221"/>
      <c r="K815" s="221"/>
      <c r="L815" s="221"/>
      <c r="M815" s="221"/>
      <c r="N815" s="221"/>
      <c r="O815" s="221"/>
      <c r="P815" s="221"/>
      <c r="Q815" s="221"/>
      <c r="R815" s="221"/>
      <c r="S815" s="221"/>
      <c r="T815" s="221"/>
      <c r="U815" s="221"/>
      <c r="V815" s="221"/>
      <c r="W815" s="221"/>
      <c r="X815" s="221"/>
    </row>
    <row r="816" spans="1:24" ht="14" x14ac:dyDescent="0.3">
      <c r="A816" s="221"/>
      <c r="B816" s="221"/>
      <c r="C816" s="221"/>
      <c r="D816" s="221"/>
      <c r="E816" s="221"/>
      <c r="F816" s="221"/>
      <c r="G816" s="221"/>
      <c r="H816" s="221"/>
      <c r="I816" s="221"/>
      <c r="J816" s="221"/>
      <c r="K816" s="221"/>
      <c r="L816" s="221"/>
      <c r="M816" s="221"/>
      <c r="N816" s="221"/>
      <c r="O816" s="221"/>
      <c r="P816" s="221"/>
      <c r="Q816" s="221"/>
      <c r="R816" s="221"/>
      <c r="S816" s="221"/>
      <c r="T816" s="221"/>
      <c r="U816" s="221"/>
      <c r="V816" s="221"/>
      <c r="W816" s="221"/>
      <c r="X816" s="221"/>
    </row>
    <row r="817" spans="1:24" ht="14" x14ac:dyDescent="0.3">
      <c r="A817" s="221"/>
      <c r="B817" s="221"/>
      <c r="C817" s="221"/>
      <c r="D817" s="221"/>
      <c r="E817" s="221"/>
      <c r="F817" s="221"/>
      <c r="G817" s="221"/>
      <c r="H817" s="221"/>
      <c r="I817" s="221"/>
      <c r="J817" s="221"/>
      <c r="K817" s="221"/>
      <c r="L817" s="221"/>
      <c r="M817" s="221"/>
      <c r="N817" s="221"/>
      <c r="O817" s="221"/>
      <c r="P817" s="221"/>
      <c r="Q817" s="221"/>
      <c r="R817" s="221"/>
      <c r="S817" s="221"/>
      <c r="T817" s="221"/>
      <c r="U817" s="221"/>
      <c r="V817" s="221"/>
      <c r="W817" s="221"/>
      <c r="X817" s="221"/>
    </row>
    <row r="818" spans="1:24" ht="14" x14ac:dyDescent="0.3">
      <c r="A818" s="221"/>
      <c r="B818" s="221"/>
      <c r="C818" s="221"/>
      <c r="D818" s="221"/>
      <c r="E818" s="221"/>
      <c r="F818" s="221"/>
      <c r="G818" s="221"/>
      <c r="H818" s="221"/>
      <c r="I818" s="221"/>
      <c r="J818" s="221"/>
      <c r="K818" s="221"/>
      <c r="L818" s="221"/>
      <c r="M818" s="221"/>
      <c r="N818" s="221"/>
      <c r="O818" s="221"/>
      <c r="P818" s="221"/>
      <c r="Q818" s="221"/>
      <c r="R818" s="221"/>
      <c r="S818" s="221"/>
      <c r="T818" s="221"/>
      <c r="U818" s="221"/>
      <c r="V818" s="221"/>
      <c r="W818" s="221"/>
      <c r="X818" s="221"/>
    </row>
    <row r="819" spans="1:24" ht="14" x14ac:dyDescent="0.3">
      <c r="A819" s="221"/>
      <c r="B819" s="221"/>
      <c r="C819" s="221"/>
      <c r="D819" s="221"/>
      <c r="E819" s="221"/>
      <c r="F819" s="221"/>
      <c r="G819" s="221"/>
      <c r="H819" s="221"/>
      <c r="I819" s="221"/>
      <c r="J819" s="221"/>
      <c r="K819" s="221"/>
      <c r="L819" s="221"/>
      <c r="M819" s="221"/>
      <c r="N819" s="221"/>
      <c r="O819" s="221"/>
      <c r="P819" s="221"/>
      <c r="Q819" s="221"/>
      <c r="R819" s="221"/>
      <c r="S819" s="221"/>
      <c r="T819" s="221"/>
      <c r="U819" s="221"/>
      <c r="V819" s="221"/>
      <c r="W819" s="221"/>
      <c r="X819" s="221"/>
    </row>
    <row r="820" spans="1:24" ht="14" x14ac:dyDescent="0.3">
      <c r="A820" s="221"/>
      <c r="B820" s="221"/>
      <c r="C820" s="221"/>
      <c r="D820" s="221"/>
      <c r="E820" s="221"/>
      <c r="F820" s="221"/>
      <c r="G820" s="221"/>
      <c r="H820" s="221"/>
      <c r="I820" s="221"/>
      <c r="J820" s="221"/>
      <c r="K820" s="221"/>
      <c r="L820" s="221"/>
      <c r="M820" s="221"/>
      <c r="N820" s="221"/>
      <c r="O820" s="221"/>
      <c r="P820" s="221"/>
      <c r="Q820" s="221"/>
      <c r="R820" s="221"/>
      <c r="S820" s="221"/>
      <c r="T820" s="221"/>
      <c r="U820" s="221"/>
      <c r="V820" s="221"/>
      <c r="W820" s="221"/>
      <c r="X820" s="221"/>
    </row>
    <row r="821" spans="1:24" ht="14" x14ac:dyDescent="0.3">
      <c r="A821" s="221"/>
      <c r="B821" s="221"/>
      <c r="C821" s="221"/>
      <c r="D821" s="221"/>
      <c r="E821" s="221"/>
      <c r="F821" s="221"/>
      <c r="G821" s="221"/>
      <c r="H821" s="221"/>
      <c r="I821" s="221"/>
      <c r="J821" s="221"/>
      <c r="K821" s="221"/>
      <c r="L821" s="221"/>
      <c r="M821" s="221"/>
      <c r="N821" s="221"/>
      <c r="O821" s="221"/>
      <c r="P821" s="221"/>
      <c r="Q821" s="221"/>
      <c r="R821" s="221"/>
      <c r="S821" s="221"/>
      <c r="T821" s="221"/>
      <c r="U821" s="221"/>
      <c r="V821" s="221"/>
      <c r="W821" s="221"/>
      <c r="X821" s="221"/>
    </row>
    <row r="822" spans="1:24" ht="14" x14ac:dyDescent="0.3">
      <c r="A822" s="221"/>
      <c r="B822" s="221"/>
      <c r="C822" s="221"/>
      <c r="D822" s="221"/>
      <c r="E822" s="221"/>
      <c r="F822" s="221"/>
      <c r="G822" s="221"/>
      <c r="H822" s="221"/>
      <c r="I822" s="221"/>
      <c r="J822" s="221"/>
      <c r="K822" s="221"/>
      <c r="L822" s="221"/>
      <c r="M822" s="221"/>
      <c r="N822" s="221"/>
      <c r="O822" s="221"/>
      <c r="P822" s="221"/>
      <c r="Q822" s="221"/>
      <c r="R822" s="221"/>
      <c r="S822" s="221"/>
      <c r="T822" s="221"/>
      <c r="U822" s="221"/>
      <c r="V822" s="221"/>
      <c r="W822" s="221"/>
      <c r="X822" s="221"/>
    </row>
    <row r="823" spans="1:24" ht="14" x14ac:dyDescent="0.3">
      <c r="A823" s="221"/>
      <c r="B823" s="221"/>
      <c r="C823" s="221"/>
      <c r="D823" s="221"/>
      <c r="E823" s="221"/>
      <c r="F823" s="221"/>
      <c r="G823" s="221"/>
      <c r="H823" s="221"/>
      <c r="I823" s="221"/>
      <c r="J823" s="221"/>
      <c r="K823" s="221"/>
      <c r="L823" s="221"/>
      <c r="M823" s="221"/>
      <c r="N823" s="221"/>
      <c r="O823" s="221"/>
      <c r="P823" s="221"/>
      <c r="Q823" s="221"/>
      <c r="R823" s="221"/>
      <c r="S823" s="221"/>
      <c r="T823" s="221"/>
      <c r="U823" s="221"/>
      <c r="V823" s="221"/>
      <c r="W823" s="221"/>
      <c r="X823" s="221"/>
    </row>
    <row r="824" spans="1:24" ht="14" x14ac:dyDescent="0.3">
      <c r="A824" s="221"/>
      <c r="B824" s="221"/>
      <c r="C824" s="221"/>
      <c r="D824" s="221"/>
      <c r="E824" s="221"/>
      <c r="F824" s="221"/>
      <c r="G824" s="221"/>
      <c r="H824" s="221"/>
      <c r="I824" s="221"/>
      <c r="J824" s="221"/>
      <c r="K824" s="221"/>
      <c r="L824" s="221"/>
      <c r="M824" s="221"/>
      <c r="N824" s="221"/>
      <c r="O824" s="221"/>
      <c r="P824" s="221"/>
      <c r="Q824" s="221"/>
      <c r="R824" s="221"/>
      <c r="S824" s="221"/>
      <c r="T824" s="221"/>
      <c r="U824" s="221"/>
      <c r="V824" s="221"/>
      <c r="W824" s="221"/>
      <c r="X824" s="221"/>
    </row>
    <row r="825" spans="1:24" ht="14" x14ac:dyDescent="0.3">
      <c r="A825" s="221"/>
      <c r="B825" s="221"/>
      <c r="C825" s="221"/>
      <c r="D825" s="221"/>
      <c r="E825" s="221"/>
      <c r="F825" s="221"/>
      <c r="G825" s="221"/>
      <c r="H825" s="221"/>
      <c r="I825" s="221"/>
      <c r="J825" s="221"/>
      <c r="K825" s="221"/>
      <c r="L825" s="221"/>
      <c r="M825" s="221"/>
      <c r="N825" s="221"/>
      <c r="O825" s="221"/>
      <c r="P825" s="221"/>
      <c r="Q825" s="221"/>
      <c r="R825" s="221"/>
      <c r="S825" s="221"/>
      <c r="T825" s="221"/>
      <c r="U825" s="221"/>
      <c r="V825" s="221"/>
      <c r="W825" s="221"/>
      <c r="X825" s="221"/>
    </row>
    <row r="826" spans="1:24" ht="14" x14ac:dyDescent="0.3">
      <c r="A826" s="221"/>
      <c r="B826" s="221"/>
      <c r="C826" s="221"/>
      <c r="D826" s="221"/>
      <c r="E826" s="221"/>
      <c r="F826" s="221"/>
      <c r="G826" s="221"/>
      <c r="H826" s="221"/>
      <c r="I826" s="221"/>
      <c r="J826" s="221"/>
      <c r="K826" s="221"/>
      <c r="L826" s="221"/>
      <c r="M826" s="221"/>
      <c r="N826" s="221"/>
      <c r="O826" s="221"/>
      <c r="P826" s="221"/>
      <c r="Q826" s="221"/>
      <c r="R826" s="221"/>
      <c r="S826" s="221"/>
      <c r="T826" s="221"/>
      <c r="U826" s="221"/>
      <c r="V826" s="221"/>
      <c r="W826" s="221"/>
      <c r="X826" s="221"/>
    </row>
    <row r="827" spans="1:24" ht="14" x14ac:dyDescent="0.3">
      <c r="A827" s="221"/>
      <c r="B827" s="221"/>
      <c r="C827" s="221"/>
      <c r="D827" s="221"/>
      <c r="E827" s="221"/>
      <c r="F827" s="221"/>
      <c r="G827" s="221"/>
      <c r="H827" s="221"/>
      <c r="I827" s="221"/>
      <c r="J827" s="221"/>
      <c r="K827" s="221"/>
      <c r="L827" s="221"/>
      <c r="M827" s="221"/>
      <c r="N827" s="221"/>
      <c r="O827" s="221"/>
      <c r="P827" s="221"/>
      <c r="Q827" s="221"/>
      <c r="R827" s="221"/>
      <c r="S827" s="221"/>
      <c r="T827" s="221"/>
      <c r="U827" s="221"/>
      <c r="V827" s="221"/>
      <c r="W827" s="221"/>
      <c r="X827" s="221"/>
    </row>
    <row r="828" spans="1:24" ht="14" x14ac:dyDescent="0.3">
      <c r="A828" s="221"/>
      <c r="B828" s="221"/>
      <c r="C828" s="221"/>
      <c r="D828" s="221"/>
      <c r="E828" s="221"/>
      <c r="F828" s="221"/>
      <c r="G828" s="221"/>
      <c r="H828" s="221"/>
      <c r="I828" s="221"/>
      <c r="J828" s="221"/>
      <c r="K828" s="221"/>
      <c r="L828" s="221"/>
      <c r="M828" s="221"/>
      <c r="N828" s="221"/>
      <c r="O828" s="221"/>
      <c r="P828" s="221"/>
      <c r="Q828" s="221"/>
      <c r="R828" s="221"/>
      <c r="S828" s="221"/>
      <c r="T828" s="221"/>
      <c r="U828" s="221"/>
      <c r="V828" s="221"/>
      <c r="W828" s="221"/>
      <c r="X828" s="221"/>
    </row>
    <row r="829" spans="1:24" ht="14" x14ac:dyDescent="0.3">
      <c r="A829" s="221"/>
      <c r="B829" s="221"/>
      <c r="C829" s="221"/>
      <c r="D829" s="221"/>
      <c r="E829" s="221"/>
      <c r="F829" s="221"/>
      <c r="G829" s="221"/>
      <c r="H829" s="221"/>
      <c r="I829" s="221"/>
      <c r="J829" s="221"/>
      <c r="K829" s="221"/>
      <c r="L829" s="221"/>
      <c r="M829" s="221"/>
      <c r="N829" s="221"/>
      <c r="O829" s="221"/>
      <c r="P829" s="221"/>
      <c r="Q829" s="221"/>
      <c r="R829" s="221"/>
      <c r="S829" s="221"/>
      <c r="T829" s="221"/>
      <c r="U829" s="221"/>
      <c r="V829" s="221"/>
      <c r="W829" s="221"/>
      <c r="X829" s="221"/>
    </row>
    <row r="830" spans="1:24" ht="14" x14ac:dyDescent="0.3">
      <c r="A830" s="221"/>
      <c r="B830" s="221"/>
      <c r="C830" s="221"/>
      <c r="D830" s="221"/>
      <c r="E830" s="221"/>
      <c r="F830" s="221"/>
      <c r="G830" s="221"/>
      <c r="H830" s="221"/>
      <c r="I830" s="221"/>
      <c r="J830" s="221"/>
      <c r="K830" s="221"/>
      <c r="L830" s="221"/>
      <c r="M830" s="221"/>
      <c r="N830" s="221"/>
      <c r="O830" s="221"/>
      <c r="P830" s="221"/>
      <c r="Q830" s="221"/>
      <c r="R830" s="221"/>
      <c r="S830" s="221"/>
      <c r="T830" s="221"/>
      <c r="U830" s="221"/>
      <c r="V830" s="221"/>
      <c r="W830" s="221"/>
      <c r="X830" s="221"/>
    </row>
    <row r="831" spans="1:24" ht="14" x14ac:dyDescent="0.3">
      <c r="A831" s="221"/>
      <c r="B831" s="221"/>
      <c r="C831" s="221"/>
      <c r="D831" s="221"/>
      <c r="E831" s="221"/>
      <c r="F831" s="221"/>
      <c r="G831" s="221"/>
      <c r="H831" s="221"/>
      <c r="I831" s="221"/>
      <c r="J831" s="221"/>
      <c r="K831" s="221"/>
      <c r="L831" s="221"/>
      <c r="M831" s="221"/>
      <c r="N831" s="221"/>
      <c r="O831" s="221"/>
      <c r="P831" s="221"/>
      <c r="Q831" s="221"/>
      <c r="R831" s="221"/>
      <c r="S831" s="221"/>
      <c r="T831" s="221"/>
      <c r="U831" s="221"/>
      <c r="V831" s="221"/>
      <c r="W831" s="221"/>
      <c r="X831" s="221"/>
    </row>
    <row r="832" spans="1:24" ht="14" x14ac:dyDescent="0.3">
      <c r="A832" s="221"/>
      <c r="B832" s="221"/>
      <c r="C832" s="221"/>
      <c r="D832" s="221"/>
      <c r="E832" s="221"/>
      <c r="F832" s="221"/>
      <c r="G832" s="221"/>
      <c r="H832" s="221"/>
      <c r="I832" s="221"/>
      <c r="J832" s="221"/>
      <c r="K832" s="221"/>
      <c r="L832" s="221"/>
      <c r="M832" s="221"/>
      <c r="N832" s="221"/>
      <c r="O832" s="221"/>
      <c r="P832" s="221"/>
      <c r="Q832" s="221"/>
      <c r="R832" s="221"/>
      <c r="S832" s="221"/>
      <c r="T832" s="221"/>
      <c r="U832" s="221"/>
      <c r="V832" s="221"/>
      <c r="W832" s="221"/>
      <c r="X832" s="221"/>
    </row>
    <row r="833" spans="1:24" ht="14" x14ac:dyDescent="0.3">
      <c r="A833" s="221"/>
      <c r="B833" s="221"/>
      <c r="C833" s="221"/>
      <c r="D833" s="221"/>
      <c r="E833" s="221"/>
      <c r="F833" s="221"/>
      <c r="G833" s="221"/>
      <c r="H833" s="221"/>
      <c r="I833" s="221"/>
      <c r="J833" s="221"/>
      <c r="K833" s="221"/>
      <c r="L833" s="221"/>
      <c r="M833" s="221"/>
      <c r="N833" s="221"/>
      <c r="O833" s="221"/>
      <c r="P833" s="221"/>
      <c r="Q833" s="221"/>
      <c r="R833" s="221"/>
      <c r="S833" s="221"/>
      <c r="T833" s="221"/>
      <c r="U833" s="221"/>
      <c r="V833" s="221"/>
      <c r="W833" s="221"/>
      <c r="X833" s="221"/>
    </row>
    <row r="834" spans="1:24" ht="14" x14ac:dyDescent="0.3">
      <c r="A834" s="221"/>
      <c r="B834" s="221"/>
      <c r="C834" s="221"/>
      <c r="D834" s="221"/>
      <c r="E834" s="221"/>
      <c r="F834" s="221"/>
      <c r="G834" s="221"/>
      <c r="H834" s="221"/>
      <c r="I834" s="221"/>
      <c r="J834" s="221"/>
      <c r="K834" s="221"/>
      <c r="L834" s="221"/>
      <c r="M834" s="221"/>
      <c r="N834" s="221"/>
      <c r="O834" s="221"/>
      <c r="P834" s="221"/>
      <c r="Q834" s="221"/>
      <c r="R834" s="221"/>
      <c r="S834" s="221"/>
      <c r="T834" s="221"/>
      <c r="U834" s="221"/>
      <c r="V834" s="221"/>
      <c r="W834" s="221"/>
      <c r="X834" s="221"/>
    </row>
    <row r="835" spans="1:24" ht="14" x14ac:dyDescent="0.3">
      <c r="A835" s="221"/>
      <c r="B835" s="221"/>
      <c r="C835" s="221"/>
      <c r="D835" s="221"/>
      <c r="E835" s="221"/>
      <c r="F835" s="221"/>
      <c r="G835" s="221"/>
      <c r="H835" s="221"/>
      <c r="I835" s="221"/>
      <c r="J835" s="221"/>
      <c r="K835" s="221"/>
      <c r="L835" s="221"/>
      <c r="M835" s="221"/>
      <c r="N835" s="221"/>
      <c r="O835" s="221"/>
      <c r="P835" s="221"/>
      <c r="Q835" s="221"/>
      <c r="R835" s="221"/>
      <c r="S835" s="221"/>
      <c r="T835" s="221"/>
      <c r="U835" s="221"/>
      <c r="V835" s="221"/>
      <c r="W835" s="221"/>
      <c r="X835" s="221"/>
    </row>
    <row r="836" spans="1:24" ht="14" x14ac:dyDescent="0.3">
      <c r="A836" s="221"/>
      <c r="B836" s="221"/>
      <c r="C836" s="221"/>
      <c r="D836" s="221"/>
      <c r="E836" s="221"/>
      <c r="F836" s="221"/>
      <c r="G836" s="221"/>
      <c r="H836" s="221"/>
      <c r="I836" s="221"/>
      <c r="J836" s="221"/>
      <c r="K836" s="221"/>
      <c r="L836" s="221"/>
      <c r="M836" s="221"/>
      <c r="N836" s="221"/>
      <c r="O836" s="221"/>
      <c r="P836" s="221"/>
      <c r="Q836" s="221"/>
      <c r="R836" s="221"/>
      <c r="S836" s="221"/>
      <c r="T836" s="221"/>
      <c r="U836" s="221"/>
      <c r="V836" s="221"/>
      <c r="W836" s="221"/>
      <c r="X836" s="221"/>
    </row>
    <row r="837" spans="1:24" ht="14" x14ac:dyDescent="0.3">
      <c r="A837" s="221"/>
      <c r="B837" s="221"/>
      <c r="C837" s="221"/>
      <c r="D837" s="221"/>
      <c r="E837" s="221"/>
      <c r="F837" s="221"/>
      <c r="G837" s="221"/>
      <c r="H837" s="221"/>
      <c r="I837" s="221"/>
      <c r="J837" s="221"/>
      <c r="K837" s="221"/>
      <c r="L837" s="221"/>
      <c r="M837" s="221"/>
      <c r="N837" s="221"/>
      <c r="O837" s="221"/>
      <c r="P837" s="221"/>
      <c r="Q837" s="221"/>
      <c r="R837" s="221"/>
      <c r="S837" s="221"/>
      <c r="T837" s="221"/>
      <c r="U837" s="221"/>
      <c r="V837" s="221"/>
      <c r="W837" s="221"/>
      <c r="X837" s="221"/>
    </row>
    <row r="838" spans="1:24" ht="14" x14ac:dyDescent="0.3">
      <c r="A838" s="221"/>
      <c r="B838" s="221"/>
      <c r="C838" s="221"/>
      <c r="D838" s="221"/>
      <c r="E838" s="221"/>
      <c r="F838" s="221"/>
      <c r="G838" s="221"/>
      <c r="H838" s="221"/>
      <c r="I838" s="221"/>
      <c r="J838" s="221"/>
      <c r="K838" s="221"/>
      <c r="L838" s="221"/>
      <c r="M838" s="221"/>
      <c r="N838" s="221"/>
      <c r="O838" s="221"/>
      <c r="P838" s="221"/>
      <c r="Q838" s="221"/>
      <c r="R838" s="221"/>
      <c r="S838" s="221"/>
      <c r="T838" s="221"/>
      <c r="U838" s="221"/>
      <c r="V838" s="221"/>
      <c r="W838" s="221"/>
      <c r="X838" s="221"/>
    </row>
    <row r="839" spans="1:24" ht="14" x14ac:dyDescent="0.3">
      <c r="A839" s="221"/>
      <c r="B839" s="221"/>
      <c r="C839" s="221"/>
      <c r="D839" s="221"/>
      <c r="E839" s="221"/>
      <c r="F839" s="221"/>
      <c r="G839" s="221"/>
      <c r="H839" s="221"/>
      <c r="I839" s="221"/>
      <c r="J839" s="221"/>
      <c r="K839" s="221"/>
      <c r="L839" s="221"/>
      <c r="M839" s="221"/>
      <c r="N839" s="221"/>
      <c r="O839" s="221"/>
      <c r="P839" s="221"/>
      <c r="Q839" s="221"/>
      <c r="R839" s="221"/>
      <c r="S839" s="221"/>
      <c r="T839" s="221"/>
      <c r="U839" s="221"/>
      <c r="V839" s="221"/>
      <c r="W839" s="221"/>
      <c r="X839" s="221"/>
    </row>
    <row r="840" spans="1:24" ht="14" x14ac:dyDescent="0.3">
      <c r="A840" s="221"/>
      <c r="B840" s="221"/>
      <c r="C840" s="221"/>
      <c r="D840" s="221"/>
      <c r="E840" s="221"/>
      <c r="F840" s="221"/>
      <c r="G840" s="221"/>
      <c r="H840" s="221"/>
      <c r="I840" s="221"/>
      <c r="J840" s="221"/>
      <c r="K840" s="221"/>
      <c r="L840" s="221"/>
      <c r="M840" s="221"/>
      <c r="N840" s="221"/>
      <c r="O840" s="221"/>
      <c r="P840" s="221"/>
      <c r="Q840" s="221"/>
      <c r="R840" s="221"/>
      <c r="S840" s="221"/>
      <c r="T840" s="221"/>
      <c r="U840" s="221"/>
      <c r="V840" s="221"/>
      <c r="W840" s="221"/>
      <c r="X840" s="221"/>
    </row>
    <row r="841" spans="1:24" ht="14" x14ac:dyDescent="0.3">
      <c r="A841" s="221"/>
      <c r="B841" s="221"/>
      <c r="C841" s="221"/>
      <c r="D841" s="221"/>
      <c r="E841" s="221"/>
      <c r="F841" s="221"/>
      <c r="G841" s="221"/>
      <c r="H841" s="221"/>
      <c r="I841" s="221"/>
      <c r="J841" s="221"/>
      <c r="K841" s="221"/>
      <c r="L841" s="221"/>
      <c r="M841" s="221"/>
      <c r="N841" s="221"/>
      <c r="O841" s="221"/>
      <c r="P841" s="221"/>
      <c r="Q841" s="221"/>
      <c r="R841" s="221"/>
      <c r="S841" s="221"/>
      <c r="T841" s="221"/>
      <c r="U841" s="221"/>
      <c r="V841" s="221"/>
      <c r="W841" s="221"/>
      <c r="X841" s="221"/>
    </row>
    <row r="842" spans="1:24" ht="14" x14ac:dyDescent="0.3">
      <c r="A842" s="221"/>
      <c r="B842" s="221"/>
      <c r="C842" s="221"/>
      <c r="D842" s="221"/>
      <c r="E842" s="221"/>
      <c r="F842" s="221"/>
      <c r="G842" s="221"/>
      <c r="H842" s="221"/>
      <c r="I842" s="221"/>
      <c r="J842" s="221"/>
      <c r="K842" s="221"/>
      <c r="L842" s="221"/>
      <c r="M842" s="221"/>
      <c r="N842" s="221"/>
      <c r="O842" s="221"/>
      <c r="P842" s="221"/>
      <c r="Q842" s="221"/>
      <c r="R842" s="221"/>
      <c r="S842" s="221"/>
      <c r="T842" s="221"/>
      <c r="U842" s="221"/>
      <c r="V842" s="221"/>
      <c r="W842" s="221"/>
      <c r="X842" s="221"/>
    </row>
    <row r="843" spans="1:24" ht="14" x14ac:dyDescent="0.3">
      <c r="A843" s="221"/>
      <c r="B843" s="221"/>
      <c r="C843" s="221"/>
      <c r="D843" s="221"/>
      <c r="E843" s="221"/>
      <c r="F843" s="221"/>
      <c r="G843" s="221"/>
      <c r="H843" s="221"/>
      <c r="I843" s="221"/>
      <c r="J843" s="221"/>
      <c r="K843" s="221"/>
      <c r="L843" s="221"/>
      <c r="M843" s="221"/>
      <c r="N843" s="221"/>
      <c r="O843" s="221"/>
      <c r="P843" s="221"/>
      <c r="Q843" s="221"/>
      <c r="R843" s="221"/>
      <c r="S843" s="221"/>
      <c r="T843" s="221"/>
      <c r="U843" s="221"/>
      <c r="V843" s="221"/>
      <c r="W843" s="221"/>
      <c r="X843" s="221"/>
    </row>
    <row r="844" spans="1:24" ht="14" x14ac:dyDescent="0.3">
      <c r="A844" s="221"/>
      <c r="B844" s="221"/>
      <c r="C844" s="221"/>
      <c r="D844" s="221"/>
      <c r="E844" s="221"/>
      <c r="F844" s="221"/>
      <c r="G844" s="221"/>
      <c r="H844" s="221"/>
      <c r="I844" s="221"/>
      <c r="J844" s="221"/>
      <c r="K844" s="221"/>
      <c r="L844" s="221"/>
      <c r="M844" s="221"/>
      <c r="N844" s="221"/>
      <c r="O844" s="221"/>
      <c r="P844" s="221"/>
      <c r="Q844" s="221"/>
      <c r="R844" s="221"/>
      <c r="S844" s="221"/>
      <c r="T844" s="221"/>
      <c r="U844" s="221"/>
      <c r="V844" s="221"/>
      <c r="W844" s="221"/>
      <c r="X844" s="221"/>
    </row>
    <row r="845" spans="1:24" ht="14" x14ac:dyDescent="0.3">
      <c r="A845" s="221"/>
      <c r="B845" s="221"/>
      <c r="C845" s="221"/>
      <c r="D845" s="221"/>
      <c r="E845" s="221"/>
      <c r="F845" s="221"/>
      <c r="G845" s="221"/>
      <c r="H845" s="221"/>
      <c r="I845" s="221"/>
      <c r="J845" s="221"/>
      <c r="K845" s="221"/>
      <c r="L845" s="221"/>
      <c r="M845" s="221"/>
      <c r="N845" s="221"/>
      <c r="O845" s="221"/>
      <c r="P845" s="221"/>
      <c r="Q845" s="221"/>
      <c r="R845" s="221"/>
      <c r="S845" s="221"/>
      <c r="T845" s="221"/>
      <c r="U845" s="221"/>
      <c r="V845" s="221"/>
      <c r="W845" s="221"/>
      <c r="X845" s="221"/>
    </row>
    <row r="846" spans="1:24" ht="14" x14ac:dyDescent="0.3">
      <c r="A846" s="221"/>
      <c r="B846" s="221"/>
      <c r="C846" s="221"/>
      <c r="D846" s="221"/>
      <c r="E846" s="221"/>
      <c r="F846" s="221"/>
      <c r="G846" s="221"/>
      <c r="H846" s="221"/>
      <c r="I846" s="221"/>
      <c r="J846" s="221"/>
      <c r="K846" s="221"/>
      <c r="L846" s="221"/>
      <c r="M846" s="221"/>
      <c r="N846" s="221"/>
      <c r="O846" s="221"/>
      <c r="P846" s="221"/>
      <c r="Q846" s="221"/>
      <c r="R846" s="221"/>
      <c r="S846" s="221"/>
      <c r="T846" s="221"/>
      <c r="U846" s="221"/>
      <c r="V846" s="221"/>
      <c r="W846" s="221"/>
      <c r="X846" s="221"/>
    </row>
    <row r="847" spans="1:24" ht="14" x14ac:dyDescent="0.3">
      <c r="A847" s="221"/>
      <c r="B847" s="221"/>
      <c r="C847" s="221"/>
      <c r="D847" s="221"/>
      <c r="E847" s="221"/>
      <c r="F847" s="221"/>
      <c r="G847" s="221"/>
      <c r="H847" s="221"/>
      <c r="I847" s="221"/>
      <c r="J847" s="221"/>
      <c r="K847" s="221"/>
      <c r="L847" s="221"/>
      <c r="M847" s="221"/>
      <c r="N847" s="221"/>
      <c r="O847" s="221"/>
      <c r="P847" s="221"/>
      <c r="Q847" s="221"/>
      <c r="R847" s="221"/>
      <c r="S847" s="221"/>
      <c r="T847" s="221"/>
      <c r="U847" s="221"/>
      <c r="V847" s="221"/>
      <c r="W847" s="221"/>
      <c r="X847" s="221"/>
    </row>
    <row r="848" spans="1:24" ht="14" x14ac:dyDescent="0.3">
      <c r="A848" s="221"/>
      <c r="B848" s="221"/>
      <c r="C848" s="221"/>
      <c r="D848" s="221"/>
      <c r="E848" s="221"/>
      <c r="F848" s="221"/>
      <c r="G848" s="221"/>
      <c r="H848" s="221"/>
      <c r="I848" s="221"/>
      <c r="J848" s="221"/>
      <c r="K848" s="221"/>
      <c r="L848" s="221"/>
      <c r="M848" s="221"/>
      <c r="N848" s="221"/>
      <c r="O848" s="221"/>
      <c r="P848" s="221"/>
      <c r="Q848" s="221"/>
      <c r="R848" s="221"/>
      <c r="S848" s="221"/>
      <c r="T848" s="221"/>
      <c r="U848" s="221"/>
      <c r="V848" s="221"/>
      <c r="W848" s="221"/>
      <c r="X848" s="221"/>
    </row>
    <row r="849" spans="1:24" ht="14" x14ac:dyDescent="0.3">
      <c r="A849" s="221"/>
      <c r="B849" s="221"/>
      <c r="C849" s="221"/>
      <c r="D849" s="221"/>
      <c r="E849" s="221"/>
      <c r="F849" s="221"/>
      <c r="G849" s="221"/>
      <c r="H849" s="221"/>
      <c r="I849" s="221"/>
      <c r="J849" s="221"/>
      <c r="K849" s="221"/>
      <c r="L849" s="221"/>
      <c r="M849" s="221"/>
      <c r="N849" s="221"/>
      <c r="O849" s="221"/>
      <c r="P849" s="221"/>
      <c r="Q849" s="221"/>
      <c r="R849" s="221"/>
      <c r="S849" s="221"/>
      <c r="T849" s="221"/>
      <c r="U849" s="221"/>
      <c r="V849" s="221"/>
      <c r="W849" s="221"/>
      <c r="X849" s="221"/>
    </row>
    <row r="850" spans="1:24" ht="14" x14ac:dyDescent="0.3">
      <c r="A850" s="221"/>
      <c r="B850" s="221"/>
      <c r="C850" s="221"/>
      <c r="D850" s="221"/>
      <c r="E850" s="221"/>
      <c r="F850" s="221"/>
      <c r="G850" s="221"/>
      <c r="H850" s="221"/>
      <c r="I850" s="221"/>
      <c r="J850" s="221"/>
      <c r="K850" s="221"/>
      <c r="L850" s="221"/>
      <c r="M850" s="221"/>
      <c r="N850" s="221"/>
      <c r="O850" s="221"/>
      <c r="P850" s="221"/>
      <c r="Q850" s="221"/>
      <c r="R850" s="221"/>
      <c r="S850" s="221"/>
      <c r="T850" s="221"/>
      <c r="U850" s="221"/>
      <c r="V850" s="221"/>
      <c r="W850" s="221"/>
      <c r="X850" s="221"/>
    </row>
    <row r="851" spans="1:24" ht="14" x14ac:dyDescent="0.3">
      <c r="A851" s="221"/>
      <c r="B851" s="221"/>
      <c r="C851" s="221"/>
      <c r="D851" s="221"/>
      <c r="E851" s="221"/>
      <c r="F851" s="221"/>
      <c r="G851" s="221"/>
      <c r="H851" s="221"/>
      <c r="I851" s="221"/>
      <c r="J851" s="221"/>
      <c r="K851" s="221"/>
      <c r="L851" s="221"/>
      <c r="M851" s="221"/>
      <c r="N851" s="221"/>
      <c r="O851" s="221"/>
      <c r="P851" s="221"/>
      <c r="Q851" s="221"/>
      <c r="R851" s="221"/>
      <c r="S851" s="221"/>
      <c r="T851" s="221"/>
      <c r="U851" s="221"/>
      <c r="V851" s="221"/>
      <c r="W851" s="221"/>
      <c r="X851" s="221"/>
    </row>
    <row r="852" spans="1:24" ht="14" x14ac:dyDescent="0.3">
      <c r="A852" s="221"/>
      <c r="B852" s="221"/>
      <c r="C852" s="221"/>
      <c r="D852" s="221"/>
      <c r="E852" s="221"/>
      <c r="F852" s="221"/>
      <c r="G852" s="221"/>
      <c r="H852" s="221"/>
      <c r="I852" s="221"/>
      <c r="J852" s="221"/>
      <c r="K852" s="221"/>
      <c r="L852" s="221"/>
      <c r="M852" s="221"/>
      <c r="N852" s="221"/>
      <c r="O852" s="221"/>
      <c r="P852" s="221"/>
      <c r="Q852" s="221"/>
      <c r="R852" s="221"/>
      <c r="S852" s="221"/>
      <c r="T852" s="221"/>
      <c r="U852" s="221"/>
      <c r="V852" s="221"/>
      <c r="W852" s="221"/>
      <c r="X852" s="221"/>
    </row>
    <row r="853" spans="1:24" ht="14" x14ac:dyDescent="0.3">
      <c r="A853" s="221"/>
      <c r="B853" s="221"/>
      <c r="C853" s="221"/>
      <c r="D853" s="221"/>
      <c r="E853" s="221"/>
      <c r="F853" s="221"/>
      <c r="G853" s="221"/>
      <c r="H853" s="221"/>
      <c r="I853" s="221"/>
      <c r="J853" s="221"/>
      <c r="K853" s="221"/>
      <c r="L853" s="221"/>
      <c r="M853" s="221"/>
      <c r="N853" s="221"/>
      <c r="O853" s="221"/>
      <c r="P853" s="221"/>
      <c r="Q853" s="221"/>
      <c r="R853" s="221"/>
      <c r="S853" s="221"/>
      <c r="T853" s="221"/>
      <c r="U853" s="221"/>
      <c r="V853" s="221"/>
      <c r="W853" s="221"/>
      <c r="X853" s="221"/>
    </row>
    <row r="854" spans="1:24" ht="14" x14ac:dyDescent="0.3">
      <c r="A854" s="221"/>
      <c r="B854" s="221"/>
      <c r="C854" s="221"/>
      <c r="D854" s="221"/>
      <c r="E854" s="221"/>
      <c r="F854" s="221"/>
      <c r="G854" s="221"/>
      <c r="H854" s="221"/>
      <c r="I854" s="221"/>
      <c r="J854" s="221"/>
      <c r="K854" s="221"/>
      <c r="L854" s="221"/>
      <c r="M854" s="221"/>
      <c r="N854" s="221"/>
      <c r="O854" s="221"/>
      <c r="P854" s="221"/>
      <c r="Q854" s="221"/>
      <c r="R854" s="221"/>
      <c r="S854" s="221"/>
      <c r="T854" s="221"/>
      <c r="U854" s="221"/>
      <c r="V854" s="221"/>
      <c r="W854" s="221"/>
      <c r="X854" s="221"/>
    </row>
    <row r="855" spans="1:24" ht="14" x14ac:dyDescent="0.3">
      <c r="A855" s="221"/>
      <c r="B855" s="221"/>
      <c r="C855" s="221"/>
      <c r="D855" s="221"/>
      <c r="E855" s="221"/>
      <c r="F855" s="221"/>
      <c r="G855" s="221"/>
      <c r="H855" s="221"/>
      <c r="I855" s="221"/>
      <c r="J855" s="221"/>
      <c r="K855" s="221"/>
      <c r="L855" s="221"/>
      <c r="M855" s="221"/>
      <c r="N855" s="221"/>
      <c r="O855" s="221"/>
      <c r="P855" s="221"/>
      <c r="Q855" s="221"/>
      <c r="R855" s="221"/>
      <c r="S855" s="221"/>
      <c r="T855" s="221"/>
      <c r="U855" s="221"/>
      <c r="V855" s="221"/>
      <c r="W855" s="221"/>
      <c r="X855" s="221"/>
    </row>
    <row r="856" spans="1:24" ht="14" x14ac:dyDescent="0.3">
      <c r="A856" s="221"/>
      <c r="B856" s="221"/>
      <c r="C856" s="221"/>
      <c r="D856" s="221"/>
      <c r="E856" s="221"/>
      <c r="F856" s="221"/>
      <c r="G856" s="221"/>
      <c r="H856" s="221"/>
      <c r="I856" s="221"/>
      <c r="J856" s="221"/>
      <c r="K856" s="221"/>
      <c r="L856" s="221"/>
      <c r="M856" s="221"/>
      <c r="N856" s="221"/>
      <c r="O856" s="221"/>
      <c r="P856" s="221"/>
      <c r="Q856" s="221"/>
      <c r="R856" s="221"/>
      <c r="S856" s="221"/>
      <c r="T856" s="221"/>
      <c r="U856" s="221"/>
      <c r="V856" s="221"/>
      <c r="W856" s="221"/>
      <c r="X856" s="221"/>
    </row>
    <row r="857" spans="1:24" ht="14" x14ac:dyDescent="0.3">
      <c r="A857" s="221"/>
      <c r="B857" s="221"/>
      <c r="C857" s="221"/>
      <c r="D857" s="221"/>
      <c r="E857" s="221"/>
      <c r="F857" s="221"/>
      <c r="G857" s="221"/>
      <c r="H857" s="221"/>
      <c r="I857" s="221"/>
      <c r="J857" s="221"/>
      <c r="K857" s="221"/>
      <c r="L857" s="221"/>
      <c r="M857" s="221"/>
      <c r="N857" s="221"/>
      <c r="O857" s="221"/>
      <c r="P857" s="221"/>
      <c r="Q857" s="221"/>
      <c r="R857" s="221"/>
      <c r="S857" s="221"/>
      <c r="T857" s="221"/>
      <c r="U857" s="221"/>
      <c r="V857" s="221"/>
      <c r="W857" s="221"/>
      <c r="X857" s="221"/>
    </row>
    <row r="858" spans="1:24" ht="14" x14ac:dyDescent="0.3">
      <c r="A858" s="221"/>
      <c r="B858" s="221"/>
      <c r="C858" s="221"/>
      <c r="D858" s="221"/>
      <c r="E858" s="221"/>
      <c r="F858" s="221"/>
      <c r="G858" s="221"/>
      <c r="H858" s="221"/>
      <c r="I858" s="221"/>
      <c r="J858" s="221"/>
      <c r="K858" s="221"/>
      <c r="L858" s="221"/>
      <c r="M858" s="221"/>
      <c r="N858" s="221"/>
      <c r="O858" s="221"/>
      <c r="P858" s="221"/>
      <c r="Q858" s="221"/>
      <c r="R858" s="221"/>
      <c r="S858" s="221"/>
      <c r="T858" s="221"/>
      <c r="U858" s="221"/>
      <c r="V858" s="221"/>
      <c r="W858" s="221"/>
      <c r="X858" s="221"/>
    </row>
    <row r="859" spans="1:24" ht="14" x14ac:dyDescent="0.3">
      <c r="A859" s="221"/>
      <c r="B859" s="221"/>
      <c r="C859" s="221"/>
      <c r="D859" s="221"/>
      <c r="E859" s="221"/>
      <c r="F859" s="221"/>
      <c r="G859" s="221"/>
      <c r="H859" s="221"/>
      <c r="I859" s="221"/>
      <c r="J859" s="221"/>
      <c r="K859" s="221"/>
      <c r="L859" s="221"/>
      <c r="M859" s="221"/>
      <c r="N859" s="221"/>
      <c r="O859" s="221"/>
      <c r="P859" s="221"/>
      <c r="Q859" s="221"/>
      <c r="R859" s="221"/>
      <c r="S859" s="221"/>
      <c r="T859" s="221"/>
      <c r="U859" s="221"/>
      <c r="V859" s="221"/>
      <c r="W859" s="221"/>
      <c r="X859" s="221"/>
    </row>
    <row r="860" spans="1:24" ht="14" x14ac:dyDescent="0.3">
      <c r="A860" s="221"/>
      <c r="B860" s="221"/>
      <c r="C860" s="221"/>
      <c r="D860" s="221"/>
      <c r="E860" s="221"/>
      <c r="F860" s="221"/>
      <c r="G860" s="221"/>
      <c r="H860" s="221"/>
      <c r="I860" s="221"/>
      <c r="J860" s="221"/>
      <c r="K860" s="221"/>
      <c r="L860" s="221"/>
      <c r="M860" s="221"/>
      <c r="N860" s="221"/>
      <c r="O860" s="221"/>
      <c r="P860" s="221"/>
      <c r="Q860" s="221"/>
      <c r="R860" s="221"/>
      <c r="S860" s="221"/>
      <c r="T860" s="221"/>
      <c r="U860" s="221"/>
      <c r="V860" s="221"/>
      <c r="W860" s="221"/>
      <c r="X860" s="221"/>
    </row>
    <row r="861" spans="1:24" ht="14" x14ac:dyDescent="0.3">
      <c r="A861" s="221"/>
      <c r="B861" s="221"/>
      <c r="C861" s="221"/>
      <c r="D861" s="221"/>
      <c r="E861" s="221"/>
      <c r="F861" s="221"/>
      <c r="G861" s="221"/>
      <c r="H861" s="221"/>
      <c r="I861" s="221"/>
      <c r="J861" s="221"/>
      <c r="K861" s="221"/>
      <c r="L861" s="221"/>
      <c r="M861" s="221"/>
      <c r="N861" s="221"/>
      <c r="O861" s="221"/>
      <c r="P861" s="221"/>
      <c r="Q861" s="221"/>
      <c r="R861" s="221"/>
      <c r="S861" s="221"/>
      <c r="T861" s="221"/>
      <c r="U861" s="221"/>
      <c r="V861" s="221"/>
      <c r="W861" s="221"/>
      <c r="X861" s="221"/>
    </row>
    <row r="862" spans="1:24" ht="14" x14ac:dyDescent="0.3">
      <c r="A862" s="221"/>
      <c r="B862" s="221"/>
      <c r="C862" s="221"/>
      <c r="D862" s="221"/>
      <c r="E862" s="221"/>
      <c r="F862" s="221"/>
      <c r="G862" s="221"/>
      <c r="H862" s="221"/>
      <c r="I862" s="221"/>
      <c r="J862" s="221"/>
      <c r="K862" s="221"/>
      <c r="L862" s="221"/>
      <c r="M862" s="221"/>
      <c r="N862" s="221"/>
      <c r="O862" s="221"/>
      <c r="P862" s="221"/>
      <c r="Q862" s="221"/>
      <c r="R862" s="221"/>
      <c r="S862" s="221"/>
      <c r="T862" s="221"/>
      <c r="U862" s="221"/>
      <c r="V862" s="221"/>
      <c r="W862" s="221"/>
      <c r="X862" s="221"/>
    </row>
    <row r="863" spans="1:24" ht="14" x14ac:dyDescent="0.3">
      <c r="A863" s="221"/>
      <c r="B863" s="221"/>
      <c r="C863" s="221"/>
      <c r="D863" s="221"/>
      <c r="E863" s="221"/>
      <c r="F863" s="221"/>
      <c r="G863" s="221"/>
      <c r="H863" s="221"/>
      <c r="I863" s="221"/>
      <c r="J863" s="221"/>
      <c r="K863" s="221"/>
      <c r="L863" s="221"/>
      <c r="M863" s="221"/>
      <c r="N863" s="221"/>
      <c r="O863" s="221"/>
      <c r="P863" s="221"/>
      <c r="Q863" s="221"/>
      <c r="R863" s="221"/>
      <c r="S863" s="221"/>
      <c r="T863" s="221"/>
      <c r="U863" s="221"/>
      <c r="V863" s="221"/>
      <c r="W863" s="221"/>
      <c r="X863" s="221"/>
    </row>
    <row r="864" spans="1:24" ht="14" x14ac:dyDescent="0.3">
      <c r="A864" s="221"/>
      <c r="B864" s="221"/>
      <c r="C864" s="221"/>
      <c r="D864" s="221"/>
      <c r="E864" s="221"/>
      <c r="F864" s="221"/>
      <c r="G864" s="221"/>
      <c r="H864" s="221"/>
      <c r="I864" s="221"/>
      <c r="J864" s="221"/>
      <c r="K864" s="221"/>
      <c r="L864" s="221"/>
      <c r="M864" s="221"/>
      <c r="N864" s="221"/>
      <c r="O864" s="221"/>
      <c r="P864" s="221"/>
      <c r="Q864" s="221"/>
      <c r="R864" s="221"/>
      <c r="S864" s="221"/>
      <c r="T864" s="221"/>
      <c r="U864" s="221"/>
      <c r="V864" s="221"/>
      <c r="W864" s="221"/>
      <c r="X864" s="221"/>
    </row>
    <row r="865" spans="1:24" ht="14" x14ac:dyDescent="0.3">
      <c r="A865" s="221"/>
      <c r="B865" s="221"/>
      <c r="C865" s="221"/>
      <c r="D865" s="221"/>
      <c r="E865" s="221"/>
      <c r="F865" s="221"/>
      <c r="G865" s="221"/>
      <c r="H865" s="221"/>
      <c r="I865" s="221"/>
      <c r="J865" s="221"/>
      <c r="K865" s="221"/>
      <c r="L865" s="221"/>
      <c r="M865" s="221"/>
      <c r="N865" s="221"/>
      <c r="O865" s="221"/>
      <c r="P865" s="221"/>
      <c r="Q865" s="221"/>
      <c r="R865" s="221"/>
      <c r="S865" s="221"/>
      <c r="T865" s="221"/>
      <c r="U865" s="221"/>
      <c r="V865" s="221"/>
      <c r="W865" s="221"/>
      <c r="X865" s="221"/>
    </row>
    <row r="866" spans="1:24" ht="14" x14ac:dyDescent="0.3">
      <c r="A866" s="221"/>
      <c r="B866" s="221"/>
      <c r="C866" s="221"/>
      <c r="D866" s="221"/>
      <c r="E866" s="221"/>
      <c r="F866" s="221"/>
      <c r="G866" s="221"/>
      <c r="H866" s="221"/>
      <c r="I866" s="221"/>
      <c r="J866" s="221"/>
      <c r="K866" s="221"/>
      <c r="L866" s="221"/>
      <c r="M866" s="221"/>
      <c r="N866" s="221"/>
      <c r="O866" s="221"/>
      <c r="P866" s="221"/>
      <c r="Q866" s="221"/>
      <c r="R866" s="221"/>
      <c r="S866" s="221"/>
      <c r="T866" s="221"/>
      <c r="U866" s="221"/>
      <c r="V866" s="221"/>
      <c r="W866" s="221"/>
      <c r="X866" s="221"/>
    </row>
    <row r="867" spans="1:24" ht="14" x14ac:dyDescent="0.3">
      <c r="A867" s="221"/>
      <c r="B867" s="221"/>
      <c r="C867" s="221"/>
      <c r="D867" s="221"/>
      <c r="E867" s="221"/>
      <c r="F867" s="221"/>
      <c r="G867" s="221"/>
      <c r="H867" s="221"/>
      <c r="I867" s="221"/>
      <c r="J867" s="221"/>
      <c r="K867" s="221"/>
      <c r="L867" s="221"/>
      <c r="M867" s="221"/>
      <c r="N867" s="221"/>
      <c r="O867" s="221"/>
      <c r="P867" s="221"/>
      <c r="Q867" s="221"/>
      <c r="R867" s="221"/>
      <c r="S867" s="221"/>
      <c r="T867" s="221"/>
      <c r="U867" s="221"/>
      <c r="V867" s="221"/>
      <c r="W867" s="221"/>
      <c r="X867" s="221"/>
    </row>
    <row r="868" spans="1:24" ht="14" x14ac:dyDescent="0.3">
      <c r="A868" s="221"/>
      <c r="B868" s="221"/>
      <c r="C868" s="221"/>
      <c r="D868" s="221"/>
      <c r="E868" s="221"/>
      <c r="F868" s="221"/>
      <c r="G868" s="221"/>
      <c r="H868" s="221"/>
      <c r="I868" s="221"/>
      <c r="J868" s="221"/>
      <c r="K868" s="221"/>
      <c r="L868" s="221"/>
      <c r="M868" s="221"/>
      <c r="N868" s="221"/>
      <c r="O868" s="221"/>
      <c r="P868" s="221"/>
      <c r="Q868" s="221"/>
      <c r="R868" s="221"/>
      <c r="S868" s="221"/>
      <c r="T868" s="221"/>
      <c r="U868" s="221"/>
      <c r="V868" s="221"/>
      <c r="W868" s="221"/>
      <c r="X868" s="221"/>
    </row>
    <row r="869" spans="1:24" ht="14" x14ac:dyDescent="0.3">
      <c r="A869" s="221"/>
      <c r="B869" s="221"/>
      <c r="C869" s="221"/>
      <c r="D869" s="221"/>
      <c r="E869" s="221"/>
      <c r="F869" s="221"/>
      <c r="G869" s="221"/>
      <c r="H869" s="221"/>
      <c r="I869" s="221"/>
      <c r="J869" s="221"/>
      <c r="K869" s="221"/>
      <c r="L869" s="221"/>
      <c r="M869" s="221"/>
      <c r="N869" s="221"/>
      <c r="O869" s="221"/>
      <c r="P869" s="221"/>
      <c r="Q869" s="221"/>
      <c r="R869" s="221"/>
      <c r="S869" s="221"/>
      <c r="T869" s="221"/>
      <c r="U869" s="221"/>
      <c r="V869" s="221"/>
      <c r="W869" s="221"/>
      <c r="X869" s="221"/>
    </row>
    <row r="870" spans="1:24" ht="14" x14ac:dyDescent="0.3">
      <c r="A870" s="221"/>
      <c r="B870" s="221"/>
      <c r="C870" s="221"/>
      <c r="D870" s="221"/>
      <c r="E870" s="221"/>
      <c r="F870" s="221"/>
      <c r="G870" s="221"/>
      <c r="H870" s="221"/>
      <c r="I870" s="221"/>
      <c r="J870" s="221"/>
      <c r="K870" s="221"/>
      <c r="L870" s="221"/>
      <c r="M870" s="221"/>
      <c r="N870" s="221"/>
      <c r="O870" s="221"/>
      <c r="P870" s="221"/>
      <c r="Q870" s="221"/>
      <c r="R870" s="221"/>
      <c r="S870" s="221"/>
      <c r="T870" s="221"/>
      <c r="U870" s="221"/>
      <c r="V870" s="221"/>
      <c r="W870" s="221"/>
      <c r="X870" s="221"/>
    </row>
    <row r="871" spans="1:24" ht="14" x14ac:dyDescent="0.3">
      <c r="A871" s="221"/>
      <c r="B871" s="221"/>
      <c r="C871" s="221"/>
      <c r="D871" s="221"/>
      <c r="E871" s="221"/>
      <c r="F871" s="221"/>
      <c r="G871" s="221"/>
      <c r="H871" s="221"/>
      <c r="I871" s="221"/>
      <c r="J871" s="221"/>
      <c r="K871" s="221"/>
      <c r="L871" s="221"/>
      <c r="M871" s="221"/>
      <c r="N871" s="221"/>
      <c r="O871" s="221"/>
      <c r="P871" s="221"/>
      <c r="Q871" s="221"/>
      <c r="R871" s="221"/>
      <c r="S871" s="221"/>
      <c r="T871" s="221"/>
      <c r="U871" s="221"/>
      <c r="V871" s="221"/>
      <c r="W871" s="221"/>
      <c r="X871" s="221"/>
    </row>
    <row r="872" spans="1:24" ht="14" x14ac:dyDescent="0.3">
      <c r="A872" s="221"/>
      <c r="B872" s="221"/>
      <c r="C872" s="221"/>
      <c r="D872" s="221"/>
      <c r="E872" s="221"/>
      <c r="F872" s="221"/>
      <c r="G872" s="221"/>
      <c r="H872" s="221"/>
      <c r="I872" s="221"/>
      <c r="J872" s="221"/>
      <c r="K872" s="221"/>
      <c r="L872" s="221"/>
      <c r="M872" s="221"/>
      <c r="N872" s="221"/>
      <c r="O872" s="221"/>
      <c r="P872" s="221"/>
      <c r="Q872" s="221"/>
      <c r="R872" s="221"/>
      <c r="S872" s="221"/>
      <c r="T872" s="221"/>
      <c r="U872" s="221"/>
      <c r="V872" s="221"/>
      <c r="W872" s="221"/>
      <c r="X872" s="221"/>
    </row>
    <row r="873" spans="1:24" ht="14" x14ac:dyDescent="0.3">
      <c r="A873" s="221"/>
      <c r="B873" s="221"/>
      <c r="C873" s="221"/>
      <c r="D873" s="221"/>
      <c r="E873" s="221"/>
      <c r="F873" s="221"/>
      <c r="G873" s="221"/>
      <c r="H873" s="221"/>
      <c r="I873" s="221"/>
      <c r="J873" s="221"/>
      <c r="K873" s="221"/>
      <c r="L873" s="221"/>
      <c r="M873" s="221"/>
      <c r="N873" s="221"/>
      <c r="O873" s="221"/>
      <c r="P873" s="221"/>
      <c r="Q873" s="221"/>
      <c r="R873" s="221"/>
      <c r="S873" s="221"/>
      <c r="T873" s="221"/>
      <c r="U873" s="221"/>
      <c r="V873" s="221"/>
      <c r="W873" s="221"/>
      <c r="X873" s="221"/>
    </row>
    <row r="874" spans="1:24" ht="14" x14ac:dyDescent="0.3">
      <c r="A874" s="221"/>
      <c r="B874" s="221"/>
      <c r="C874" s="221"/>
      <c r="D874" s="221"/>
      <c r="E874" s="221"/>
      <c r="F874" s="221"/>
      <c r="G874" s="221"/>
      <c r="H874" s="221"/>
      <c r="I874" s="221"/>
      <c r="J874" s="221"/>
      <c r="K874" s="221"/>
      <c r="L874" s="221"/>
      <c r="M874" s="221"/>
      <c r="N874" s="221"/>
      <c r="O874" s="221"/>
      <c r="P874" s="221"/>
      <c r="Q874" s="221"/>
      <c r="R874" s="221"/>
      <c r="S874" s="221"/>
      <c r="T874" s="221"/>
      <c r="U874" s="221"/>
      <c r="V874" s="221"/>
      <c r="W874" s="221"/>
      <c r="X874" s="221"/>
    </row>
    <row r="875" spans="1:24" ht="14" x14ac:dyDescent="0.3">
      <c r="A875" s="221"/>
      <c r="B875" s="221"/>
      <c r="C875" s="221"/>
      <c r="D875" s="221"/>
      <c r="E875" s="221"/>
      <c r="F875" s="221"/>
      <c r="G875" s="221"/>
      <c r="H875" s="221"/>
      <c r="I875" s="221"/>
      <c r="J875" s="221"/>
      <c r="K875" s="221"/>
      <c r="L875" s="221"/>
      <c r="M875" s="221"/>
      <c r="N875" s="221"/>
      <c r="O875" s="221"/>
      <c r="P875" s="221"/>
      <c r="Q875" s="221"/>
      <c r="R875" s="221"/>
      <c r="S875" s="221"/>
      <c r="T875" s="221"/>
      <c r="U875" s="221"/>
      <c r="V875" s="221"/>
      <c r="W875" s="221"/>
      <c r="X875" s="221"/>
    </row>
    <row r="876" spans="1:24" ht="14" x14ac:dyDescent="0.3">
      <c r="A876" s="221"/>
      <c r="B876" s="221"/>
      <c r="C876" s="221"/>
      <c r="D876" s="221"/>
      <c r="E876" s="221"/>
      <c r="F876" s="221"/>
      <c r="G876" s="221"/>
      <c r="H876" s="221"/>
      <c r="I876" s="221"/>
      <c r="J876" s="221"/>
      <c r="K876" s="221"/>
      <c r="L876" s="221"/>
      <c r="M876" s="221"/>
      <c r="N876" s="221"/>
      <c r="O876" s="221"/>
      <c r="P876" s="221"/>
      <c r="Q876" s="221"/>
      <c r="R876" s="221"/>
      <c r="S876" s="221"/>
      <c r="T876" s="221"/>
      <c r="U876" s="221"/>
      <c r="V876" s="221"/>
      <c r="W876" s="221"/>
      <c r="X876" s="221"/>
    </row>
    <row r="877" spans="1:24" ht="14" x14ac:dyDescent="0.3">
      <c r="A877" s="221"/>
      <c r="B877" s="221"/>
      <c r="C877" s="221"/>
      <c r="D877" s="221"/>
      <c r="E877" s="221"/>
      <c r="F877" s="221"/>
      <c r="G877" s="221"/>
      <c r="H877" s="221"/>
      <c r="I877" s="221"/>
      <c r="J877" s="221"/>
      <c r="K877" s="221"/>
      <c r="L877" s="221"/>
      <c r="M877" s="221"/>
      <c r="N877" s="221"/>
      <c r="O877" s="221"/>
      <c r="P877" s="221"/>
      <c r="Q877" s="221"/>
      <c r="R877" s="221"/>
      <c r="S877" s="221"/>
      <c r="T877" s="221"/>
      <c r="U877" s="221"/>
      <c r="V877" s="221"/>
      <c r="W877" s="221"/>
      <c r="X877" s="221"/>
    </row>
    <row r="878" spans="1:24" ht="14" x14ac:dyDescent="0.3">
      <c r="A878" s="221"/>
      <c r="B878" s="221"/>
      <c r="C878" s="221"/>
      <c r="D878" s="221"/>
      <c r="E878" s="221"/>
      <c r="F878" s="221"/>
      <c r="G878" s="221"/>
      <c r="H878" s="221"/>
      <c r="I878" s="221"/>
      <c r="J878" s="221"/>
      <c r="K878" s="221"/>
      <c r="L878" s="221"/>
      <c r="M878" s="221"/>
      <c r="N878" s="221"/>
      <c r="O878" s="221"/>
      <c r="P878" s="221"/>
      <c r="Q878" s="221"/>
      <c r="R878" s="221"/>
      <c r="S878" s="221"/>
      <c r="T878" s="221"/>
      <c r="U878" s="221"/>
      <c r="V878" s="221"/>
      <c r="W878" s="221"/>
      <c r="X878" s="221"/>
    </row>
    <row r="879" spans="1:24" ht="14" x14ac:dyDescent="0.3">
      <c r="A879" s="221"/>
      <c r="B879" s="221"/>
      <c r="C879" s="221"/>
      <c r="D879" s="221"/>
      <c r="E879" s="221"/>
      <c r="F879" s="221"/>
      <c r="G879" s="221"/>
      <c r="H879" s="221"/>
      <c r="I879" s="221"/>
      <c r="J879" s="221"/>
      <c r="K879" s="221"/>
      <c r="L879" s="221"/>
      <c r="M879" s="221"/>
      <c r="N879" s="221"/>
      <c r="O879" s="221"/>
      <c r="P879" s="221"/>
      <c r="Q879" s="221"/>
      <c r="R879" s="221"/>
      <c r="S879" s="221"/>
      <c r="T879" s="221"/>
      <c r="U879" s="221"/>
      <c r="V879" s="221"/>
      <c r="W879" s="221"/>
      <c r="X879" s="221"/>
    </row>
    <row r="880" spans="1:24" ht="14" x14ac:dyDescent="0.3">
      <c r="A880" s="221"/>
      <c r="B880" s="221"/>
      <c r="C880" s="221"/>
      <c r="D880" s="221"/>
      <c r="E880" s="221"/>
      <c r="F880" s="221"/>
      <c r="G880" s="221"/>
      <c r="H880" s="221"/>
      <c r="I880" s="221"/>
      <c r="J880" s="221"/>
      <c r="K880" s="221"/>
      <c r="L880" s="221"/>
      <c r="M880" s="221"/>
      <c r="N880" s="221"/>
      <c r="O880" s="221"/>
      <c r="P880" s="221"/>
      <c r="Q880" s="221"/>
      <c r="R880" s="221"/>
      <c r="S880" s="221"/>
      <c r="T880" s="221"/>
      <c r="U880" s="221"/>
      <c r="V880" s="221"/>
      <c r="W880" s="221"/>
      <c r="X880" s="221"/>
    </row>
    <row r="881" spans="1:24" ht="14" x14ac:dyDescent="0.3">
      <c r="A881" s="221"/>
      <c r="B881" s="221"/>
      <c r="C881" s="221"/>
      <c r="D881" s="221"/>
      <c r="E881" s="221"/>
      <c r="F881" s="221"/>
      <c r="G881" s="221"/>
      <c r="H881" s="221"/>
      <c r="I881" s="221"/>
      <c r="J881" s="221"/>
      <c r="K881" s="221"/>
      <c r="L881" s="221"/>
      <c r="M881" s="221"/>
      <c r="N881" s="221"/>
      <c r="O881" s="221"/>
      <c r="P881" s="221"/>
      <c r="Q881" s="221"/>
      <c r="R881" s="221"/>
      <c r="S881" s="221"/>
      <c r="T881" s="221"/>
      <c r="U881" s="221"/>
      <c r="V881" s="221"/>
      <c r="W881" s="221"/>
      <c r="X881" s="221"/>
    </row>
    <row r="882" spans="1:24" ht="14" x14ac:dyDescent="0.3">
      <c r="A882" s="221"/>
      <c r="B882" s="221"/>
      <c r="C882" s="221"/>
      <c r="D882" s="221"/>
      <c r="E882" s="221"/>
      <c r="F882" s="221"/>
      <c r="G882" s="221"/>
      <c r="H882" s="221"/>
      <c r="I882" s="221"/>
      <c r="J882" s="221"/>
      <c r="K882" s="221"/>
      <c r="L882" s="221"/>
      <c r="M882" s="221"/>
      <c r="N882" s="221"/>
      <c r="O882" s="221"/>
      <c r="P882" s="221"/>
      <c r="Q882" s="221"/>
      <c r="R882" s="221"/>
      <c r="S882" s="221"/>
      <c r="T882" s="221"/>
      <c r="U882" s="221"/>
      <c r="V882" s="221"/>
      <c r="W882" s="221"/>
      <c r="X882" s="221"/>
    </row>
    <row r="883" spans="1:24" ht="14" x14ac:dyDescent="0.3">
      <c r="A883" s="221"/>
      <c r="B883" s="221"/>
      <c r="C883" s="221"/>
      <c r="D883" s="221"/>
      <c r="E883" s="221"/>
      <c r="F883" s="221"/>
      <c r="G883" s="221"/>
      <c r="H883" s="221"/>
      <c r="I883" s="221"/>
      <c r="J883" s="221"/>
      <c r="K883" s="221"/>
      <c r="L883" s="221"/>
      <c r="M883" s="221"/>
      <c r="N883" s="221"/>
      <c r="O883" s="221"/>
      <c r="P883" s="221"/>
      <c r="Q883" s="221"/>
      <c r="R883" s="221"/>
      <c r="S883" s="221"/>
      <c r="T883" s="221"/>
      <c r="U883" s="221"/>
      <c r="V883" s="221"/>
      <c r="W883" s="221"/>
      <c r="X883" s="221"/>
    </row>
    <row r="884" spans="1:24" ht="14" x14ac:dyDescent="0.3">
      <c r="A884" s="221"/>
      <c r="B884" s="221"/>
      <c r="C884" s="221"/>
      <c r="D884" s="221"/>
      <c r="E884" s="221"/>
      <c r="F884" s="221"/>
      <c r="G884" s="221"/>
      <c r="H884" s="221"/>
      <c r="I884" s="221"/>
      <c r="J884" s="221"/>
      <c r="K884" s="221"/>
      <c r="L884" s="221"/>
      <c r="M884" s="221"/>
      <c r="N884" s="221"/>
      <c r="O884" s="221"/>
      <c r="P884" s="221"/>
      <c r="Q884" s="221"/>
      <c r="R884" s="221"/>
      <c r="S884" s="221"/>
      <c r="T884" s="221"/>
      <c r="U884" s="221"/>
      <c r="V884" s="221"/>
      <c r="W884" s="221"/>
      <c r="X884" s="221"/>
    </row>
    <row r="885" spans="1:24" ht="14" x14ac:dyDescent="0.3">
      <c r="A885" s="221"/>
      <c r="B885" s="221"/>
      <c r="C885" s="221"/>
      <c r="D885" s="221"/>
      <c r="E885" s="221"/>
      <c r="F885" s="221"/>
      <c r="G885" s="221"/>
      <c r="H885" s="221"/>
      <c r="I885" s="221"/>
      <c r="J885" s="221"/>
      <c r="K885" s="221"/>
      <c r="L885" s="221"/>
      <c r="M885" s="221"/>
      <c r="N885" s="221"/>
      <c r="O885" s="221"/>
      <c r="P885" s="221"/>
      <c r="Q885" s="221"/>
      <c r="R885" s="221"/>
      <c r="S885" s="221"/>
      <c r="T885" s="221"/>
      <c r="U885" s="221"/>
      <c r="V885" s="221"/>
      <c r="W885" s="221"/>
      <c r="X885" s="221"/>
    </row>
    <row r="886" spans="1:24" ht="14" x14ac:dyDescent="0.3">
      <c r="A886" s="221"/>
      <c r="B886" s="221"/>
      <c r="C886" s="221"/>
      <c r="D886" s="221"/>
      <c r="E886" s="221"/>
      <c r="F886" s="221"/>
      <c r="G886" s="221"/>
      <c r="H886" s="221"/>
      <c r="I886" s="221"/>
      <c r="J886" s="221"/>
      <c r="K886" s="221"/>
      <c r="L886" s="221"/>
      <c r="M886" s="221"/>
      <c r="N886" s="221"/>
      <c r="O886" s="221"/>
      <c r="P886" s="221"/>
      <c r="Q886" s="221"/>
      <c r="R886" s="221"/>
      <c r="S886" s="221"/>
      <c r="T886" s="221"/>
      <c r="U886" s="221"/>
      <c r="V886" s="221"/>
      <c r="W886" s="221"/>
      <c r="X886" s="221"/>
    </row>
    <row r="887" spans="1:24" ht="14" x14ac:dyDescent="0.3">
      <c r="A887" s="221"/>
      <c r="B887" s="221"/>
      <c r="C887" s="221"/>
      <c r="D887" s="221"/>
      <c r="E887" s="221"/>
      <c r="F887" s="221"/>
      <c r="G887" s="221"/>
      <c r="H887" s="221"/>
      <c r="I887" s="221"/>
      <c r="J887" s="221"/>
      <c r="K887" s="221"/>
      <c r="L887" s="221"/>
      <c r="M887" s="221"/>
      <c r="N887" s="221"/>
      <c r="O887" s="221"/>
      <c r="P887" s="221"/>
      <c r="Q887" s="221"/>
      <c r="R887" s="221"/>
      <c r="S887" s="221"/>
      <c r="T887" s="221"/>
      <c r="U887" s="221"/>
      <c r="V887" s="221"/>
      <c r="W887" s="221"/>
      <c r="X887" s="221"/>
    </row>
    <row r="888" spans="1:24" ht="14" x14ac:dyDescent="0.3">
      <c r="A888" s="221"/>
      <c r="B888" s="221"/>
      <c r="C888" s="221"/>
      <c r="D888" s="221"/>
      <c r="E888" s="221"/>
      <c r="F888" s="221"/>
      <c r="G888" s="221"/>
      <c r="H888" s="221"/>
      <c r="I888" s="221"/>
      <c r="J888" s="221"/>
      <c r="K888" s="221"/>
      <c r="L888" s="221"/>
      <c r="M888" s="221"/>
      <c r="N888" s="221"/>
      <c r="O888" s="221"/>
      <c r="P888" s="221"/>
      <c r="Q888" s="221"/>
      <c r="R888" s="221"/>
      <c r="S888" s="221"/>
      <c r="T888" s="221"/>
      <c r="U888" s="221"/>
      <c r="V888" s="221"/>
      <c r="W888" s="221"/>
      <c r="X888" s="221"/>
    </row>
    <row r="889" spans="1:24" ht="14" x14ac:dyDescent="0.3">
      <c r="A889" s="221"/>
      <c r="B889" s="221"/>
      <c r="C889" s="221"/>
      <c r="D889" s="221"/>
      <c r="E889" s="221"/>
      <c r="F889" s="221"/>
      <c r="G889" s="221"/>
      <c r="H889" s="221"/>
      <c r="I889" s="221"/>
      <c r="J889" s="221"/>
      <c r="K889" s="221"/>
      <c r="L889" s="221"/>
      <c r="M889" s="221"/>
      <c r="N889" s="221"/>
      <c r="O889" s="221"/>
      <c r="P889" s="221"/>
      <c r="Q889" s="221"/>
      <c r="R889" s="221"/>
      <c r="S889" s="221"/>
      <c r="T889" s="221"/>
      <c r="U889" s="221"/>
      <c r="V889" s="221"/>
      <c r="W889" s="221"/>
      <c r="X889" s="221"/>
    </row>
    <row r="890" spans="1:24" ht="14" x14ac:dyDescent="0.3">
      <c r="A890" s="221"/>
      <c r="B890" s="221"/>
      <c r="C890" s="221"/>
      <c r="D890" s="221"/>
      <c r="E890" s="221"/>
      <c r="F890" s="221"/>
      <c r="G890" s="221"/>
      <c r="H890" s="221"/>
      <c r="I890" s="221"/>
      <c r="J890" s="221"/>
      <c r="K890" s="221"/>
      <c r="L890" s="221"/>
      <c r="M890" s="221"/>
      <c r="N890" s="221"/>
      <c r="O890" s="221"/>
      <c r="P890" s="221"/>
      <c r="Q890" s="221"/>
      <c r="R890" s="221"/>
      <c r="S890" s="221"/>
      <c r="T890" s="221"/>
      <c r="U890" s="221"/>
      <c r="V890" s="221"/>
      <c r="W890" s="221"/>
      <c r="X890" s="221"/>
    </row>
    <row r="891" spans="1:24" ht="14" x14ac:dyDescent="0.3">
      <c r="A891" s="221"/>
      <c r="B891" s="221"/>
      <c r="C891" s="221"/>
      <c r="D891" s="221"/>
      <c r="E891" s="221"/>
      <c r="F891" s="221"/>
      <c r="G891" s="221"/>
      <c r="H891" s="221"/>
      <c r="I891" s="221"/>
      <c r="J891" s="221"/>
      <c r="K891" s="221"/>
      <c r="L891" s="221"/>
      <c r="M891" s="221"/>
      <c r="N891" s="221"/>
      <c r="O891" s="221"/>
      <c r="P891" s="221"/>
      <c r="Q891" s="221"/>
      <c r="R891" s="221"/>
      <c r="S891" s="221"/>
      <c r="T891" s="221"/>
      <c r="U891" s="221"/>
      <c r="V891" s="221"/>
      <c r="W891" s="221"/>
      <c r="X891" s="221"/>
    </row>
    <row r="892" spans="1:24" ht="14" x14ac:dyDescent="0.3">
      <c r="A892" s="221"/>
      <c r="B892" s="221"/>
      <c r="C892" s="221"/>
      <c r="D892" s="221"/>
      <c r="E892" s="221"/>
      <c r="F892" s="221"/>
      <c r="G892" s="221"/>
      <c r="H892" s="221"/>
      <c r="I892" s="221"/>
      <c r="J892" s="221"/>
      <c r="K892" s="221"/>
      <c r="L892" s="221"/>
      <c r="M892" s="221"/>
      <c r="N892" s="221"/>
      <c r="O892" s="221"/>
      <c r="P892" s="221"/>
      <c r="Q892" s="221"/>
      <c r="R892" s="221"/>
      <c r="S892" s="221"/>
      <c r="T892" s="221"/>
      <c r="U892" s="221"/>
      <c r="V892" s="221"/>
      <c r="W892" s="221"/>
      <c r="X892" s="221"/>
    </row>
    <row r="893" spans="1:24" ht="14" x14ac:dyDescent="0.3">
      <c r="A893" s="221"/>
      <c r="B893" s="221"/>
      <c r="C893" s="221"/>
      <c r="D893" s="221"/>
      <c r="E893" s="221"/>
      <c r="F893" s="221"/>
      <c r="G893" s="221"/>
      <c r="H893" s="221"/>
      <c r="I893" s="221"/>
      <c r="J893" s="221"/>
      <c r="K893" s="221"/>
      <c r="L893" s="221"/>
      <c r="M893" s="221"/>
      <c r="N893" s="221"/>
      <c r="O893" s="221"/>
      <c r="P893" s="221"/>
      <c r="Q893" s="221"/>
      <c r="R893" s="221"/>
      <c r="S893" s="221"/>
      <c r="T893" s="221"/>
      <c r="U893" s="221"/>
      <c r="V893" s="221"/>
      <c r="W893" s="221"/>
      <c r="X893" s="221"/>
    </row>
    <row r="894" spans="1:24" ht="14" x14ac:dyDescent="0.3">
      <c r="A894" s="221"/>
      <c r="B894" s="221"/>
      <c r="C894" s="221"/>
      <c r="D894" s="221"/>
      <c r="E894" s="221"/>
      <c r="F894" s="221"/>
      <c r="G894" s="221"/>
      <c r="H894" s="221"/>
      <c r="I894" s="221"/>
      <c r="J894" s="221"/>
      <c r="K894" s="221"/>
      <c r="L894" s="221"/>
      <c r="M894" s="221"/>
      <c r="N894" s="221"/>
      <c r="O894" s="221"/>
      <c r="P894" s="221"/>
      <c r="Q894" s="221"/>
      <c r="R894" s="221"/>
      <c r="S894" s="221"/>
      <c r="T894" s="221"/>
      <c r="U894" s="221"/>
      <c r="V894" s="221"/>
      <c r="W894" s="221"/>
      <c r="X894" s="221"/>
    </row>
    <row r="895" spans="1:24" ht="14" x14ac:dyDescent="0.3">
      <c r="A895" s="221"/>
      <c r="B895" s="221"/>
      <c r="C895" s="221"/>
      <c r="D895" s="221"/>
      <c r="E895" s="221"/>
      <c r="F895" s="221"/>
      <c r="G895" s="221"/>
      <c r="H895" s="221"/>
      <c r="I895" s="221"/>
      <c r="J895" s="221"/>
      <c r="K895" s="221"/>
      <c r="L895" s="221"/>
      <c r="M895" s="221"/>
      <c r="N895" s="221"/>
      <c r="O895" s="221"/>
      <c r="P895" s="221"/>
      <c r="Q895" s="221"/>
      <c r="R895" s="221"/>
      <c r="S895" s="221"/>
      <c r="T895" s="221"/>
      <c r="U895" s="221"/>
      <c r="V895" s="221"/>
      <c r="W895" s="221"/>
      <c r="X895" s="221"/>
    </row>
    <row r="896" spans="1:24" ht="14" x14ac:dyDescent="0.3">
      <c r="A896" s="221"/>
      <c r="B896" s="221"/>
      <c r="C896" s="221"/>
      <c r="D896" s="221"/>
      <c r="E896" s="221"/>
      <c r="F896" s="221"/>
      <c r="G896" s="221"/>
      <c r="H896" s="221"/>
      <c r="I896" s="221"/>
      <c r="J896" s="221"/>
      <c r="K896" s="221"/>
      <c r="L896" s="221"/>
      <c r="M896" s="221"/>
      <c r="N896" s="221"/>
      <c r="O896" s="221"/>
      <c r="P896" s="221"/>
      <c r="Q896" s="221"/>
      <c r="R896" s="221"/>
      <c r="S896" s="221"/>
      <c r="T896" s="221"/>
      <c r="U896" s="221"/>
      <c r="V896" s="221"/>
      <c r="W896" s="221"/>
      <c r="X896" s="221"/>
    </row>
    <row r="897" spans="1:24" ht="14" x14ac:dyDescent="0.3">
      <c r="A897" s="221"/>
      <c r="B897" s="221"/>
      <c r="C897" s="221"/>
      <c r="D897" s="221"/>
      <c r="E897" s="221"/>
      <c r="F897" s="221"/>
      <c r="G897" s="221"/>
      <c r="H897" s="221"/>
      <c r="I897" s="221"/>
      <c r="J897" s="221"/>
      <c r="K897" s="221"/>
      <c r="L897" s="221"/>
      <c r="M897" s="221"/>
      <c r="N897" s="221"/>
      <c r="O897" s="221"/>
      <c r="P897" s="221"/>
      <c r="Q897" s="221"/>
      <c r="R897" s="221"/>
      <c r="S897" s="221"/>
      <c r="T897" s="221"/>
      <c r="U897" s="221"/>
      <c r="V897" s="221"/>
      <c r="W897" s="221"/>
      <c r="X897" s="221"/>
    </row>
    <row r="898" spans="1:24" ht="14" x14ac:dyDescent="0.3">
      <c r="A898" s="221"/>
      <c r="B898" s="221"/>
      <c r="C898" s="221"/>
      <c r="D898" s="221"/>
      <c r="E898" s="221"/>
      <c r="F898" s="221"/>
      <c r="G898" s="221"/>
      <c r="H898" s="221"/>
      <c r="I898" s="221"/>
      <c r="J898" s="221"/>
      <c r="K898" s="221"/>
      <c r="L898" s="221"/>
      <c r="M898" s="221"/>
      <c r="N898" s="221"/>
      <c r="O898" s="221"/>
      <c r="P898" s="221"/>
      <c r="Q898" s="221"/>
      <c r="R898" s="221"/>
      <c r="S898" s="221"/>
      <c r="T898" s="221"/>
      <c r="U898" s="221"/>
      <c r="V898" s="221"/>
      <c r="W898" s="221"/>
      <c r="X898" s="221"/>
    </row>
    <row r="899" spans="1:24" ht="14" x14ac:dyDescent="0.3">
      <c r="A899" s="221"/>
      <c r="B899" s="221"/>
      <c r="C899" s="221"/>
      <c r="D899" s="221"/>
      <c r="E899" s="221"/>
      <c r="F899" s="221"/>
      <c r="G899" s="221"/>
      <c r="H899" s="221"/>
      <c r="I899" s="221"/>
      <c r="J899" s="221"/>
      <c r="K899" s="221"/>
      <c r="L899" s="221"/>
      <c r="M899" s="221"/>
      <c r="N899" s="221"/>
      <c r="O899" s="221"/>
      <c r="P899" s="221"/>
      <c r="Q899" s="221"/>
      <c r="R899" s="221"/>
      <c r="S899" s="221"/>
      <c r="T899" s="221"/>
      <c r="U899" s="221"/>
      <c r="V899" s="221"/>
      <c r="W899" s="221"/>
      <c r="X899" s="221"/>
    </row>
    <row r="900" spans="1:24" ht="14" x14ac:dyDescent="0.3">
      <c r="A900" s="221"/>
      <c r="B900" s="221"/>
      <c r="C900" s="221"/>
      <c r="D900" s="221"/>
      <c r="E900" s="221"/>
      <c r="F900" s="221"/>
      <c r="G900" s="221"/>
      <c r="H900" s="221"/>
      <c r="I900" s="221"/>
      <c r="J900" s="221"/>
      <c r="K900" s="221"/>
      <c r="L900" s="221"/>
      <c r="M900" s="221"/>
      <c r="N900" s="221"/>
      <c r="O900" s="221"/>
      <c r="P900" s="221"/>
      <c r="Q900" s="221"/>
      <c r="R900" s="221"/>
      <c r="S900" s="221"/>
      <c r="T900" s="221"/>
      <c r="U900" s="221"/>
      <c r="V900" s="221"/>
      <c r="W900" s="221"/>
      <c r="X900" s="221"/>
    </row>
    <row r="901" spans="1:24" ht="14" x14ac:dyDescent="0.3">
      <c r="A901" s="221"/>
      <c r="B901" s="221"/>
      <c r="C901" s="221"/>
      <c r="D901" s="221"/>
      <c r="E901" s="221"/>
      <c r="F901" s="221"/>
      <c r="G901" s="221"/>
      <c r="H901" s="221"/>
      <c r="I901" s="221"/>
      <c r="J901" s="221"/>
      <c r="K901" s="221"/>
      <c r="L901" s="221"/>
      <c r="M901" s="221"/>
      <c r="N901" s="221"/>
      <c r="O901" s="221"/>
      <c r="P901" s="221"/>
      <c r="Q901" s="221"/>
      <c r="R901" s="221"/>
      <c r="S901" s="221"/>
      <c r="T901" s="221"/>
      <c r="U901" s="221"/>
      <c r="V901" s="221"/>
      <c r="W901" s="221"/>
      <c r="X901" s="221"/>
    </row>
    <row r="902" spans="1:24" ht="14" x14ac:dyDescent="0.3">
      <c r="A902" s="221"/>
      <c r="B902" s="221"/>
      <c r="C902" s="221"/>
      <c r="D902" s="221"/>
      <c r="E902" s="221"/>
      <c r="F902" s="221"/>
      <c r="G902" s="221"/>
      <c r="H902" s="221"/>
      <c r="I902" s="221"/>
      <c r="J902" s="221"/>
      <c r="K902" s="221"/>
      <c r="L902" s="221"/>
      <c r="M902" s="221"/>
      <c r="N902" s="221"/>
      <c r="O902" s="221"/>
      <c r="P902" s="221"/>
      <c r="Q902" s="221"/>
      <c r="R902" s="221"/>
      <c r="S902" s="221"/>
      <c r="T902" s="221"/>
      <c r="U902" s="221"/>
      <c r="V902" s="221"/>
      <c r="W902" s="221"/>
      <c r="X902" s="221"/>
    </row>
    <row r="903" spans="1:24" ht="14" x14ac:dyDescent="0.3">
      <c r="A903" s="221"/>
      <c r="B903" s="221"/>
      <c r="C903" s="221"/>
      <c r="D903" s="221"/>
      <c r="E903" s="221"/>
      <c r="F903" s="221"/>
      <c r="G903" s="221"/>
      <c r="H903" s="221"/>
      <c r="I903" s="221"/>
      <c r="J903" s="221"/>
      <c r="K903" s="221"/>
      <c r="L903" s="221"/>
      <c r="M903" s="221"/>
      <c r="N903" s="221"/>
      <c r="O903" s="221"/>
      <c r="P903" s="221"/>
      <c r="Q903" s="221"/>
      <c r="R903" s="221"/>
      <c r="S903" s="221"/>
      <c r="T903" s="221"/>
      <c r="U903" s="221"/>
      <c r="V903" s="221"/>
      <c r="W903" s="221"/>
      <c r="X903" s="221"/>
    </row>
    <row r="904" spans="1:24" ht="14" x14ac:dyDescent="0.3">
      <c r="A904" s="221"/>
      <c r="B904" s="221"/>
      <c r="C904" s="221"/>
      <c r="D904" s="221"/>
      <c r="E904" s="221"/>
      <c r="F904" s="221"/>
      <c r="G904" s="221"/>
      <c r="H904" s="221"/>
      <c r="I904" s="221"/>
      <c r="J904" s="221"/>
      <c r="K904" s="221"/>
      <c r="L904" s="221"/>
      <c r="M904" s="221"/>
      <c r="N904" s="221"/>
      <c r="O904" s="221"/>
      <c r="P904" s="221"/>
      <c r="Q904" s="221"/>
      <c r="R904" s="221"/>
      <c r="S904" s="221"/>
      <c r="T904" s="221"/>
      <c r="U904" s="221"/>
      <c r="V904" s="221"/>
      <c r="W904" s="221"/>
      <c r="X904" s="221"/>
    </row>
    <row r="905" spans="1:24" ht="14" x14ac:dyDescent="0.3">
      <c r="A905" s="221"/>
      <c r="B905" s="221"/>
      <c r="C905" s="221"/>
      <c r="D905" s="221"/>
      <c r="E905" s="221"/>
      <c r="F905" s="221"/>
      <c r="G905" s="221"/>
      <c r="H905" s="221"/>
      <c r="I905" s="221"/>
      <c r="J905" s="221"/>
      <c r="K905" s="221"/>
      <c r="L905" s="221"/>
      <c r="M905" s="221"/>
      <c r="N905" s="221"/>
      <c r="O905" s="221"/>
      <c r="P905" s="221"/>
      <c r="Q905" s="221"/>
      <c r="R905" s="221"/>
      <c r="S905" s="221"/>
      <c r="T905" s="221"/>
      <c r="U905" s="221"/>
      <c r="V905" s="221"/>
      <c r="W905" s="221"/>
      <c r="X905" s="221"/>
    </row>
    <row r="906" spans="1:24" ht="14" x14ac:dyDescent="0.3">
      <c r="A906" s="221"/>
      <c r="B906" s="221"/>
      <c r="C906" s="221"/>
      <c r="D906" s="221"/>
      <c r="E906" s="221"/>
      <c r="F906" s="221"/>
      <c r="G906" s="221"/>
      <c r="H906" s="221"/>
      <c r="I906" s="221"/>
      <c r="J906" s="221"/>
      <c r="K906" s="221"/>
      <c r="L906" s="221"/>
      <c r="M906" s="221"/>
      <c r="N906" s="221"/>
      <c r="O906" s="221"/>
      <c r="P906" s="221"/>
      <c r="Q906" s="221"/>
      <c r="R906" s="221"/>
      <c r="S906" s="221"/>
      <c r="T906" s="221"/>
      <c r="U906" s="221"/>
      <c r="V906" s="221"/>
      <c r="W906" s="221"/>
      <c r="X906" s="221"/>
    </row>
    <row r="907" spans="1:24" ht="14" x14ac:dyDescent="0.3">
      <c r="A907" s="221"/>
      <c r="B907" s="221"/>
      <c r="C907" s="221"/>
      <c r="D907" s="221"/>
      <c r="E907" s="221"/>
      <c r="F907" s="221"/>
      <c r="G907" s="221"/>
      <c r="H907" s="221"/>
      <c r="I907" s="221"/>
      <c r="J907" s="221"/>
      <c r="K907" s="221"/>
      <c r="L907" s="221"/>
      <c r="M907" s="221"/>
      <c r="N907" s="221"/>
      <c r="O907" s="221"/>
      <c r="P907" s="221"/>
      <c r="Q907" s="221"/>
      <c r="R907" s="221"/>
      <c r="S907" s="221"/>
      <c r="T907" s="221"/>
      <c r="U907" s="221"/>
      <c r="V907" s="221"/>
      <c r="W907" s="221"/>
      <c r="X907" s="221"/>
    </row>
    <row r="908" spans="1:24" ht="14" x14ac:dyDescent="0.3">
      <c r="A908" s="221"/>
      <c r="B908" s="221"/>
      <c r="C908" s="221"/>
      <c r="D908" s="221"/>
      <c r="E908" s="221"/>
      <c r="F908" s="221"/>
      <c r="G908" s="221"/>
      <c r="H908" s="221"/>
      <c r="I908" s="221"/>
      <c r="J908" s="221"/>
      <c r="K908" s="221"/>
      <c r="L908" s="221"/>
      <c r="M908" s="221"/>
      <c r="N908" s="221"/>
      <c r="O908" s="221"/>
      <c r="P908" s="221"/>
      <c r="Q908" s="221"/>
      <c r="R908" s="221"/>
      <c r="S908" s="221"/>
      <c r="T908" s="221"/>
      <c r="U908" s="221"/>
      <c r="V908" s="221"/>
      <c r="W908" s="221"/>
      <c r="X908" s="221"/>
    </row>
    <row r="909" spans="1:24" ht="14" x14ac:dyDescent="0.3">
      <c r="A909" s="221"/>
      <c r="B909" s="221"/>
      <c r="C909" s="221"/>
      <c r="D909" s="221"/>
      <c r="E909" s="221"/>
      <c r="F909" s="221"/>
      <c r="G909" s="221"/>
      <c r="H909" s="221"/>
      <c r="I909" s="221"/>
      <c r="J909" s="221"/>
      <c r="K909" s="221"/>
      <c r="L909" s="221"/>
      <c r="M909" s="221"/>
      <c r="N909" s="221"/>
      <c r="O909" s="221"/>
      <c r="P909" s="221"/>
      <c r="Q909" s="221"/>
      <c r="R909" s="221"/>
      <c r="S909" s="221"/>
      <c r="T909" s="221"/>
      <c r="U909" s="221"/>
      <c r="V909" s="221"/>
      <c r="W909" s="221"/>
      <c r="X909" s="221"/>
    </row>
    <row r="910" spans="1:24" ht="14" x14ac:dyDescent="0.3">
      <c r="A910" s="221"/>
      <c r="B910" s="221"/>
      <c r="C910" s="221"/>
      <c r="D910" s="221"/>
      <c r="E910" s="221"/>
      <c r="F910" s="221"/>
      <c r="G910" s="221"/>
      <c r="H910" s="221"/>
      <c r="I910" s="221"/>
      <c r="J910" s="221"/>
      <c r="K910" s="221"/>
      <c r="L910" s="221"/>
      <c r="M910" s="221"/>
      <c r="N910" s="221"/>
      <c r="O910" s="221"/>
      <c r="P910" s="221"/>
      <c r="Q910" s="221"/>
      <c r="R910" s="221"/>
      <c r="S910" s="221"/>
      <c r="T910" s="221"/>
      <c r="U910" s="221"/>
      <c r="V910" s="221"/>
      <c r="W910" s="221"/>
      <c r="X910" s="221"/>
    </row>
    <row r="911" spans="1:24" ht="14" x14ac:dyDescent="0.3">
      <c r="A911" s="221"/>
      <c r="B911" s="221"/>
      <c r="C911" s="221"/>
      <c r="D911" s="221"/>
      <c r="E911" s="221"/>
      <c r="F911" s="221"/>
      <c r="G911" s="221"/>
      <c r="H911" s="221"/>
      <c r="I911" s="221"/>
      <c r="J911" s="221"/>
      <c r="K911" s="221"/>
      <c r="L911" s="221"/>
      <c r="M911" s="221"/>
      <c r="N911" s="221"/>
      <c r="O911" s="221"/>
      <c r="P911" s="221"/>
      <c r="Q911" s="221"/>
      <c r="R911" s="221"/>
      <c r="S911" s="221"/>
      <c r="T911" s="221"/>
      <c r="U911" s="221"/>
      <c r="V911" s="221"/>
      <c r="W911" s="221"/>
      <c r="X911" s="221"/>
    </row>
    <row r="912" spans="1:24" ht="14" x14ac:dyDescent="0.3">
      <c r="A912" s="221"/>
      <c r="B912" s="221"/>
      <c r="C912" s="221"/>
      <c r="D912" s="221"/>
      <c r="E912" s="221"/>
      <c r="F912" s="221"/>
      <c r="G912" s="221"/>
      <c r="H912" s="221"/>
      <c r="I912" s="221"/>
      <c r="J912" s="221"/>
      <c r="K912" s="221"/>
      <c r="L912" s="221"/>
      <c r="M912" s="221"/>
      <c r="N912" s="221"/>
      <c r="O912" s="221"/>
      <c r="P912" s="221"/>
      <c r="Q912" s="221"/>
      <c r="R912" s="221"/>
      <c r="S912" s="221"/>
      <c r="T912" s="221"/>
      <c r="U912" s="221"/>
      <c r="V912" s="221"/>
      <c r="W912" s="221"/>
      <c r="X912" s="221"/>
    </row>
    <row r="913" spans="1:24" ht="14" x14ac:dyDescent="0.3">
      <c r="A913" s="221"/>
      <c r="B913" s="221"/>
      <c r="C913" s="221"/>
      <c r="D913" s="221"/>
      <c r="E913" s="221"/>
      <c r="F913" s="221"/>
      <c r="G913" s="221"/>
      <c r="H913" s="221"/>
      <c r="I913" s="221"/>
      <c r="J913" s="221"/>
      <c r="K913" s="221"/>
      <c r="L913" s="221"/>
      <c r="M913" s="221"/>
      <c r="N913" s="221"/>
      <c r="O913" s="221"/>
      <c r="P913" s="221"/>
      <c r="Q913" s="221"/>
      <c r="R913" s="221"/>
      <c r="S913" s="221"/>
      <c r="T913" s="221"/>
      <c r="U913" s="221"/>
      <c r="V913" s="221"/>
      <c r="W913" s="221"/>
      <c r="X913" s="221"/>
    </row>
    <row r="914" spans="1:24" ht="14" x14ac:dyDescent="0.3">
      <c r="A914" s="221"/>
      <c r="B914" s="221"/>
      <c r="C914" s="221"/>
      <c r="D914" s="221"/>
      <c r="E914" s="221"/>
      <c r="F914" s="221"/>
      <c r="G914" s="221"/>
      <c r="H914" s="221"/>
      <c r="I914" s="221"/>
      <c r="J914" s="221"/>
      <c r="K914" s="221"/>
      <c r="L914" s="221"/>
      <c r="M914" s="221"/>
      <c r="N914" s="221"/>
      <c r="O914" s="221"/>
      <c r="P914" s="221"/>
      <c r="Q914" s="221"/>
      <c r="R914" s="221"/>
      <c r="S914" s="221"/>
      <c r="T914" s="221"/>
      <c r="U914" s="221"/>
      <c r="V914" s="221"/>
      <c r="W914" s="221"/>
      <c r="X914" s="221"/>
    </row>
    <row r="915" spans="1:24" ht="14" x14ac:dyDescent="0.3">
      <c r="A915" s="221"/>
      <c r="B915" s="221"/>
      <c r="C915" s="221"/>
      <c r="D915" s="221"/>
      <c r="E915" s="221"/>
      <c r="F915" s="221"/>
      <c r="G915" s="221"/>
      <c r="H915" s="221"/>
      <c r="I915" s="221"/>
      <c r="J915" s="221"/>
      <c r="K915" s="221"/>
      <c r="L915" s="221"/>
      <c r="M915" s="221"/>
      <c r="N915" s="221"/>
      <c r="O915" s="221"/>
      <c r="P915" s="221"/>
      <c r="Q915" s="221"/>
      <c r="R915" s="221"/>
      <c r="S915" s="221"/>
      <c r="T915" s="221"/>
      <c r="U915" s="221"/>
      <c r="V915" s="221"/>
      <c r="W915" s="221"/>
      <c r="X915" s="221"/>
    </row>
    <row r="916" spans="1:24" ht="14" x14ac:dyDescent="0.3">
      <c r="A916" s="221"/>
      <c r="B916" s="221"/>
      <c r="C916" s="221"/>
      <c r="D916" s="221"/>
      <c r="E916" s="221"/>
      <c r="F916" s="221"/>
      <c r="G916" s="221"/>
      <c r="H916" s="221"/>
      <c r="I916" s="221"/>
      <c r="J916" s="221"/>
      <c r="K916" s="221"/>
      <c r="L916" s="221"/>
      <c r="M916" s="221"/>
      <c r="N916" s="221"/>
      <c r="O916" s="221"/>
      <c r="P916" s="221"/>
      <c r="Q916" s="221"/>
      <c r="R916" s="221"/>
      <c r="S916" s="221"/>
      <c r="T916" s="221"/>
      <c r="U916" s="221"/>
      <c r="V916" s="221"/>
      <c r="W916" s="221"/>
      <c r="X916" s="221"/>
    </row>
    <row r="917" spans="1:24" ht="14" x14ac:dyDescent="0.3">
      <c r="A917" s="221"/>
      <c r="B917" s="221"/>
      <c r="C917" s="221"/>
      <c r="D917" s="221"/>
      <c r="E917" s="221"/>
      <c r="F917" s="221"/>
      <c r="G917" s="221"/>
      <c r="H917" s="221"/>
      <c r="I917" s="221"/>
      <c r="J917" s="221"/>
      <c r="K917" s="221"/>
      <c r="L917" s="221"/>
      <c r="M917" s="221"/>
      <c r="N917" s="221"/>
      <c r="O917" s="221"/>
      <c r="P917" s="221"/>
      <c r="Q917" s="221"/>
      <c r="R917" s="221"/>
      <c r="S917" s="221"/>
      <c r="T917" s="221"/>
      <c r="U917" s="221"/>
      <c r="V917" s="221"/>
      <c r="W917" s="221"/>
      <c r="X917" s="221"/>
    </row>
    <row r="918" spans="1:24" ht="14" x14ac:dyDescent="0.3">
      <c r="A918" s="221"/>
      <c r="B918" s="221"/>
      <c r="C918" s="221"/>
      <c r="D918" s="221"/>
      <c r="E918" s="221"/>
      <c r="F918" s="221"/>
      <c r="G918" s="221"/>
      <c r="H918" s="221"/>
      <c r="I918" s="221"/>
      <c r="J918" s="221"/>
      <c r="K918" s="221"/>
      <c r="L918" s="221"/>
      <c r="M918" s="221"/>
      <c r="N918" s="221"/>
      <c r="O918" s="221"/>
      <c r="P918" s="221"/>
      <c r="Q918" s="221"/>
      <c r="R918" s="221"/>
      <c r="S918" s="221"/>
      <c r="T918" s="221"/>
      <c r="U918" s="221"/>
      <c r="V918" s="221"/>
      <c r="W918" s="221"/>
      <c r="X918" s="221"/>
    </row>
    <row r="919" spans="1:24" ht="14" x14ac:dyDescent="0.3">
      <c r="A919" s="221"/>
      <c r="B919" s="221"/>
      <c r="C919" s="221"/>
      <c r="D919" s="221"/>
      <c r="E919" s="221"/>
      <c r="F919" s="221"/>
      <c r="G919" s="221"/>
      <c r="H919" s="221"/>
      <c r="I919" s="221"/>
      <c r="J919" s="221"/>
      <c r="K919" s="221"/>
      <c r="L919" s="221"/>
      <c r="M919" s="221"/>
      <c r="N919" s="221"/>
      <c r="O919" s="221"/>
      <c r="P919" s="221"/>
      <c r="Q919" s="221"/>
      <c r="R919" s="221"/>
      <c r="S919" s="221"/>
      <c r="T919" s="221"/>
      <c r="U919" s="221"/>
      <c r="V919" s="221"/>
      <c r="W919" s="221"/>
      <c r="X919" s="221"/>
    </row>
    <row r="920" spans="1:24" ht="14" x14ac:dyDescent="0.3">
      <c r="A920" s="221"/>
      <c r="B920" s="221"/>
      <c r="C920" s="221"/>
      <c r="D920" s="221"/>
      <c r="E920" s="221"/>
      <c r="F920" s="221"/>
      <c r="G920" s="221"/>
      <c r="H920" s="221"/>
      <c r="I920" s="221"/>
      <c r="J920" s="221"/>
      <c r="K920" s="221"/>
      <c r="L920" s="221"/>
      <c r="M920" s="221"/>
      <c r="N920" s="221"/>
      <c r="O920" s="221"/>
      <c r="P920" s="221"/>
      <c r="Q920" s="221"/>
      <c r="R920" s="221"/>
      <c r="S920" s="221"/>
      <c r="T920" s="221"/>
      <c r="U920" s="221"/>
      <c r="V920" s="221"/>
      <c r="W920" s="221"/>
      <c r="X920" s="221"/>
    </row>
    <row r="921" spans="1:24" ht="14" x14ac:dyDescent="0.3">
      <c r="A921" s="221"/>
      <c r="B921" s="221"/>
      <c r="C921" s="221"/>
      <c r="D921" s="221"/>
      <c r="E921" s="221"/>
      <c r="F921" s="221"/>
      <c r="G921" s="221"/>
      <c r="H921" s="221"/>
      <c r="I921" s="221"/>
      <c r="J921" s="221"/>
      <c r="K921" s="221"/>
      <c r="L921" s="221"/>
      <c r="M921" s="221"/>
      <c r="N921" s="221"/>
      <c r="O921" s="221"/>
      <c r="P921" s="221"/>
      <c r="Q921" s="221"/>
      <c r="R921" s="221"/>
      <c r="S921" s="221"/>
      <c r="T921" s="221"/>
      <c r="U921" s="221"/>
      <c r="V921" s="221"/>
      <c r="W921" s="221"/>
      <c r="X921" s="221"/>
    </row>
    <row r="922" spans="1:24" ht="14" x14ac:dyDescent="0.3">
      <c r="A922" s="221"/>
      <c r="B922" s="221"/>
      <c r="C922" s="221"/>
      <c r="D922" s="221"/>
      <c r="E922" s="221"/>
      <c r="F922" s="221"/>
      <c r="G922" s="221"/>
      <c r="H922" s="221"/>
      <c r="I922" s="221"/>
      <c r="J922" s="221"/>
      <c r="K922" s="221"/>
      <c r="L922" s="221"/>
      <c r="M922" s="221"/>
      <c r="N922" s="221"/>
      <c r="O922" s="221"/>
      <c r="P922" s="221"/>
      <c r="Q922" s="221"/>
      <c r="R922" s="221"/>
      <c r="S922" s="221"/>
      <c r="T922" s="221"/>
      <c r="U922" s="221"/>
      <c r="V922" s="221"/>
      <c r="W922" s="221"/>
      <c r="X922" s="221"/>
    </row>
    <row r="923" spans="1:24" ht="14" x14ac:dyDescent="0.3">
      <c r="A923" s="221"/>
      <c r="B923" s="221"/>
      <c r="C923" s="221"/>
      <c r="D923" s="221"/>
      <c r="E923" s="221"/>
      <c r="F923" s="221"/>
      <c r="G923" s="221"/>
      <c r="H923" s="221"/>
      <c r="I923" s="221"/>
      <c r="J923" s="221"/>
      <c r="K923" s="221"/>
      <c r="L923" s="221"/>
      <c r="M923" s="221"/>
      <c r="N923" s="221"/>
      <c r="O923" s="221"/>
      <c r="P923" s="221"/>
      <c r="Q923" s="221"/>
      <c r="R923" s="221"/>
      <c r="S923" s="221"/>
      <c r="T923" s="221"/>
      <c r="U923" s="221"/>
      <c r="V923" s="221"/>
      <c r="W923" s="221"/>
      <c r="X923" s="221"/>
    </row>
    <row r="924" spans="1:24" ht="14" x14ac:dyDescent="0.3">
      <c r="A924" s="221"/>
      <c r="B924" s="221"/>
      <c r="C924" s="221"/>
      <c r="D924" s="221"/>
      <c r="E924" s="221"/>
      <c r="F924" s="221"/>
      <c r="G924" s="221"/>
      <c r="H924" s="221"/>
      <c r="I924" s="221"/>
      <c r="J924" s="221"/>
      <c r="K924" s="221"/>
      <c r="L924" s="221"/>
      <c r="M924" s="221"/>
      <c r="N924" s="221"/>
      <c r="O924" s="221"/>
      <c r="P924" s="221"/>
      <c r="Q924" s="221"/>
      <c r="R924" s="221"/>
      <c r="S924" s="221"/>
      <c r="T924" s="221"/>
      <c r="U924" s="221"/>
      <c r="V924" s="221"/>
      <c r="W924" s="221"/>
      <c r="X924" s="221"/>
    </row>
    <row r="925" spans="1:24" ht="14" x14ac:dyDescent="0.3">
      <c r="A925" s="221"/>
      <c r="B925" s="221"/>
      <c r="C925" s="221"/>
      <c r="D925" s="221"/>
      <c r="E925" s="221"/>
      <c r="F925" s="221"/>
      <c r="G925" s="221"/>
      <c r="H925" s="221"/>
      <c r="I925" s="221"/>
      <c r="J925" s="221"/>
      <c r="K925" s="221"/>
      <c r="L925" s="221"/>
      <c r="M925" s="221"/>
      <c r="N925" s="221"/>
      <c r="O925" s="221"/>
      <c r="P925" s="221"/>
      <c r="Q925" s="221"/>
      <c r="R925" s="221"/>
      <c r="S925" s="221"/>
      <c r="T925" s="221"/>
      <c r="U925" s="221"/>
      <c r="V925" s="221"/>
      <c r="W925" s="221"/>
      <c r="X925" s="221"/>
    </row>
    <row r="926" spans="1:24" ht="14" x14ac:dyDescent="0.3">
      <c r="A926" s="221"/>
      <c r="B926" s="221"/>
      <c r="C926" s="221"/>
      <c r="D926" s="221"/>
      <c r="E926" s="221"/>
      <c r="F926" s="221"/>
      <c r="G926" s="221"/>
      <c r="H926" s="221"/>
      <c r="I926" s="221"/>
      <c r="J926" s="221"/>
      <c r="K926" s="221"/>
      <c r="L926" s="221"/>
      <c r="M926" s="221"/>
      <c r="N926" s="221"/>
      <c r="O926" s="221"/>
      <c r="P926" s="221"/>
      <c r="Q926" s="221"/>
      <c r="R926" s="221"/>
      <c r="S926" s="221"/>
      <c r="T926" s="221"/>
      <c r="U926" s="221"/>
      <c r="V926" s="221"/>
      <c r="W926" s="221"/>
      <c r="X926" s="221"/>
    </row>
    <row r="927" spans="1:24" ht="14" x14ac:dyDescent="0.3">
      <c r="A927" s="221"/>
      <c r="B927" s="221"/>
      <c r="C927" s="221"/>
      <c r="D927" s="221"/>
      <c r="E927" s="221"/>
      <c r="F927" s="221"/>
      <c r="G927" s="221"/>
      <c r="H927" s="221"/>
      <c r="I927" s="221"/>
      <c r="J927" s="221"/>
      <c r="K927" s="221"/>
      <c r="L927" s="221"/>
      <c r="M927" s="221"/>
      <c r="N927" s="221"/>
      <c r="O927" s="221"/>
      <c r="P927" s="221"/>
      <c r="Q927" s="221"/>
      <c r="R927" s="221"/>
      <c r="S927" s="221"/>
      <c r="T927" s="221"/>
      <c r="U927" s="221"/>
      <c r="V927" s="221"/>
      <c r="W927" s="221"/>
      <c r="X927" s="221"/>
    </row>
    <row r="928" spans="1:24" ht="14" x14ac:dyDescent="0.3">
      <c r="A928" s="221"/>
      <c r="B928" s="221"/>
      <c r="C928" s="221"/>
      <c r="D928" s="221"/>
      <c r="E928" s="221"/>
      <c r="F928" s="221"/>
      <c r="G928" s="221"/>
      <c r="H928" s="221"/>
      <c r="I928" s="221"/>
      <c r="J928" s="221"/>
      <c r="K928" s="221"/>
      <c r="L928" s="221"/>
      <c r="M928" s="221"/>
      <c r="N928" s="221"/>
      <c r="O928" s="221"/>
      <c r="P928" s="221"/>
      <c r="Q928" s="221"/>
      <c r="R928" s="221"/>
      <c r="S928" s="221"/>
      <c r="T928" s="221"/>
      <c r="U928" s="221"/>
      <c r="V928" s="221"/>
      <c r="W928" s="221"/>
      <c r="X928" s="221"/>
    </row>
    <row r="929" spans="1:24" ht="14" x14ac:dyDescent="0.3">
      <c r="A929" s="221"/>
      <c r="B929" s="221"/>
      <c r="C929" s="221"/>
      <c r="D929" s="221"/>
      <c r="E929" s="221"/>
      <c r="F929" s="221"/>
      <c r="G929" s="221"/>
      <c r="H929" s="221"/>
      <c r="I929" s="221"/>
      <c r="J929" s="221"/>
      <c r="K929" s="221"/>
      <c r="L929" s="221"/>
      <c r="M929" s="221"/>
      <c r="N929" s="221"/>
      <c r="O929" s="221"/>
      <c r="P929" s="221"/>
      <c r="Q929" s="221"/>
      <c r="R929" s="221"/>
      <c r="S929" s="221"/>
      <c r="T929" s="221"/>
      <c r="U929" s="221"/>
      <c r="V929" s="221"/>
      <c r="W929" s="221"/>
      <c r="X929" s="221"/>
    </row>
    <row r="930" spans="1:24" ht="14" x14ac:dyDescent="0.3">
      <c r="A930" s="221"/>
      <c r="B930" s="221"/>
      <c r="C930" s="221"/>
      <c r="D930" s="221"/>
      <c r="E930" s="221"/>
      <c r="F930" s="221"/>
      <c r="G930" s="221"/>
      <c r="H930" s="221"/>
      <c r="I930" s="221"/>
      <c r="J930" s="221"/>
      <c r="K930" s="221"/>
      <c r="L930" s="221"/>
      <c r="M930" s="221"/>
      <c r="N930" s="221"/>
      <c r="O930" s="221"/>
      <c r="P930" s="221"/>
      <c r="Q930" s="221"/>
      <c r="R930" s="221"/>
      <c r="S930" s="221"/>
      <c r="T930" s="221"/>
      <c r="U930" s="221"/>
      <c r="V930" s="221"/>
      <c r="W930" s="221"/>
      <c r="X930" s="221"/>
    </row>
    <row r="931" spans="1:24" ht="14" x14ac:dyDescent="0.3">
      <c r="A931" s="221"/>
      <c r="B931" s="221"/>
      <c r="C931" s="221"/>
      <c r="D931" s="221"/>
      <c r="E931" s="221"/>
      <c r="F931" s="221"/>
      <c r="G931" s="221"/>
      <c r="H931" s="221"/>
      <c r="I931" s="221"/>
      <c r="J931" s="221"/>
      <c r="K931" s="221"/>
      <c r="L931" s="221"/>
      <c r="M931" s="221"/>
      <c r="N931" s="221"/>
      <c r="O931" s="221"/>
      <c r="P931" s="221"/>
      <c r="Q931" s="221"/>
      <c r="R931" s="221"/>
      <c r="S931" s="221"/>
      <c r="T931" s="221"/>
      <c r="U931" s="221"/>
      <c r="V931" s="221"/>
      <c r="W931" s="221"/>
      <c r="X931" s="221"/>
    </row>
    <row r="932" spans="1:24" ht="14" x14ac:dyDescent="0.3">
      <c r="A932" s="221"/>
      <c r="B932" s="221"/>
      <c r="C932" s="221"/>
      <c r="D932" s="221"/>
      <c r="E932" s="221"/>
      <c r="F932" s="221"/>
      <c r="G932" s="221"/>
      <c r="H932" s="221"/>
      <c r="I932" s="221"/>
      <c r="J932" s="221"/>
      <c r="K932" s="221"/>
      <c r="L932" s="221"/>
      <c r="M932" s="221"/>
      <c r="N932" s="221"/>
      <c r="O932" s="221"/>
      <c r="P932" s="221"/>
      <c r="Q932" s="221"/>
      <c r="R932" s="221"/>
      <c r="S932" s="221"/>
      <c r="T932" s="221"/>
      <c r="U932" s="221"/>
      <c r="V932" s="221"/>
      <c r="W932" s="221"/>
      <c r="X932" s="221"/>
    </row>
    <row r="933" spans="1:24" ht="14" x14ac:dyDescent="0.3">
      <c r="A933" s="221"/>
      <c r="B933" s="221"/>
      <c r="C933" s="221"/>
      <c r="D933" s="221"/>
      <c r="E933" s="221"/>
      <c r="F933" s="221"/>
      <c r="G933" s="221"/>
      <c r="H933" s="221"/>
      <c r="I933" s="221"/>
      <c r="J933" s="221"/>
      <c r="K933" s="221"/>
      <c r="L933" s="221"/>
      <c r="M933" s="221"/>
      <c r="N933" s="221"/>
      <c r="O933" s="221"/>
      <c r="P933" s="221"/>
      <c r="Q933" s="221"/>
      <c r="R933" s="221"/>
      <c r="S933" s="221"/>
      <c r="T933" s="221"/>
      <c r="U933" s="221"/>
      <c r="V933" s="221"/>
      <c r="W933" s="221"/>
      <c r="X933" s="221"/>
    </row>
    <row r="934" spans="1:24" ht="14" x14ac:dyDescent="0.3">
      <c r="A934" s="221"/>
      <c r="B934" s="221"/>
      <c r="C934" s="221"/>
      <c r="D934" s="221"/>
      <c r="E934" s="221"/>
      <c r="F934" s="221"/>
      <c r="G934" s="221"/>
      <c r="H934" s="221"/>
      <c r="I934" s="221"/>
      <c r="J934" s="221"/>
      <c r="K934" s="221"/>
      <c r="L934" s="221"/>
      <c r="M934" s="221"/>
      <c r="N934" s="221"/>
      <c r="O934" s="221"/>
      <c r="P934" s="221"/>
      <c r="Q934" s="221"/>
      <c r="R934" s="221"/>
      <c r="S934" s="221"/>
      <c r="T934" s="221"/>
      <c r="U934" s="221"/>
      <c r="V934" s="221"/>
      <c r="W934" s="221"/>
      <c r="X934" s="221"/>
    </row>
    <row r="935" spans="1:24" ht="14" x14ac:dyDescent="0.3">
      <c r="A935" s="221"/>
      <c r="B935" s="221"/>
      <c r="C935" s="221"/>
      <c r="D935" s="221"/>
      <c r="E935" s="221"/>
      <c r="F935" s="221"/>
      <c r="G935" s="221"/>
      <c r="H935" s="221"/>
      <c r="I935" s="221"/>
      <c r="J935" s="221"/>
      <c r="K935" s="221"/>
      <c r="L935" s="221"/>
      <c r="M935" s="221"/>
      <c r="N935" s="221"/>
      <c r="O935" s="221"/>
      <c r="P935" s="221"/>
      <c r="Q935" s="221"/>
      <c r="R935" s="221"/>
      <c r="S935" s="221"/>
      <c r="T935" s="221"/>
      <c r="U935" s="221"/>
      <c r="V935" s="221"/>
      <c r="W935" s="221"/>
      <c r="X935" s="221"/>
    </row>
    <row r="936" spans="1:24" ht="14" x14ac:dyDescent="0.3">
      <c r="A936" s="221"/>
      <c r="B936" s="221"/>
      <c r="C936" s="221"/>
      <c r="D936" s="221"/>
      <c r="E936" s="221"/>
      <c r="F936" s="221"/>
      <c r="G936" s="221"/>
      <c r="H936" s="221"/>
      <c r="I936" s="221"/>
      <c r="J936" s="221"/>
      <c r="K936" s="221"/>
      <c r="L936" s="221"/>
      <c r="M936" s="221"/>
      <c r="N936" s="221"/>
      <c r="O936" s="221"/>
      <c r="P936" s="221"/>
      <c r="Q936" s="221"/>
      <c r="R936" s="221"/>
      <c r="S936" s="221"/>
      <c r="T936" s="221"/>
      <c r="U936" s="221"/>
      <c r="V936" s="221"/>
      <c r="W936" s="221"/>
      <c r="X936" s="221"/>
    </row>
    <row r="937" spans="1:24" ht="14" x14ac:dyDescent="0.3">
      <c r="A937" s="221"/>
      <c r="B937" s="221"/>
      <c r="C937" s="221"/>
      <c r="D937" s="221"/>
      <c r="E937" s="221"/>
      <c r="F937" s="221"/>
      <c r="G937" s="221"/>
      <c r="H937" s="221"/>
      <c r="I937" s="221"/>
      <c r="J937" s="221"/>
      <c r="K937" s="221"/>
      <c r="L937" s="221"/>
      <c r="M937" s="221"/>
      <c r="N937" s="221"/>
      <c r="O937" s="221"/>
      <c r="P937" s="221"/>
      <c r="Q937" s="221"/>
      <c r="R937" s="221"/>
      <c r="S937" s="221"/>
      <c r="T937" s="221"/>
      <c r="U937" s="221"/>
      <c r="V937" s="221"/>
      <c r="W937" s="221"/>
      <c r="X937" s="221"/>
    </row>
    <row r="938" spans="1:24" ht="14" x14ac:dyDescent="0.3">
      <c r="A938" s="221"/>
      <c r="B938" s="221"/>
      <c r="C938" s="221"/>
      <c r="D938" s="221"/>
      <c r="E938" s="221"/>
      <c r="F938" s="221"/>
      <c r="G938" s="221"/>
      <c r="H938" s="221"/>
      <c r="I938" s="221"/>
      <c r="J938" s="221"/>
      <c r="K938" s="221"/>
      <c r="L938" s="221"/>
      <c r="M938" s="221"/>
      <c r="N938" s="221"/>
      <c r="O938" s="221"/>
      <c r="P938" s="221"/>
      <c r="Q938" s="221"/>
      <c r="R938" s="221"/>
      <c r="S938" s="221"/>
      <c r="T938" s="221"/>
      <c r="U938" s="221"/>
      <c r="V938" s="221"/>
      <c r="W938" s="221"/>
      <c r="X938" s="221"/>
    </row>
    <row r="939" spans="1:24" ht="14" x14ac:dyDescent="0.3">
      <c r="A939" s="221"/>
      <c r="B939" s="221"/>
      <c r="C939" s="221"/>
      <c r="D939" s="221"/>
      <c r="E939" s="221"/>
      <c r="F939" s="221"/>
      <c r="G939" s="221"/>
      <c r="H939" s="221"/>
      <c r="I939" s="221"/>
      <c r="J939" s="221"/>
      <c r="K939" s="221"/>
      <c r="L939" s="221"/>
      <c r="M939" s="221"/>
      <c r="N939" s="221"/>
      <c r="O939" s="221"/>
      <c r="P939" s="221"/>
      <c r="Q939" s="221"/>
      <c r="R939" s="221"/>
      <c r="S939" s="221"/>
      <c r="T939" s="221"/>
      <c r="U939" s="221"/>
      <c r="V939" s="221"/>
      <c r="W939" s="221"/>
      <c r="X939" s="221"/>
    </row>
    <row r="940" spans="1:24" ht="14" x14ac:dyDescent="0.3">
      <c r="A940" s="221"/>
      <c r="B940" s="221"/>
      <c r="C940" s="221"/>
      <c r="D940" s="221"/>
      <c r="E940" s="221"/>
      <c r="F940" s="221"/>
      <c r="G940" s="221"/>
      <c r="H940" s="221"/>
      <c r="I940" s="221"/>
      <c r="J940" s="221"/>
      <c r="K940" s="221"/>
      <c r="L940" s="221"/>
      <c r="M940" s="221"/>
      <c r="N940" s="221"/>
      <c r="O940" s="221"/>
      <c r="P940" s="221"/>
      <c r="Q940" s="221"/>
      <c r="R940" s="221"/>
      <c r="S940" s="221"/>
      <c r="T940" s="221"/>
      <c r="U940" s="221"/>
      <c r="V940" s="221"/>
      <c r="W940" s="221"/>
      <c r="X940" s="221"/>
    </row>
    <row r="941" spans="1:24" ht="14" x14ac:dyDescent="0.3">
      <c r="A941" s="221"/>
      <c r="B941" s="221"/>
      <c r="C941" s="221"/>
      <c r="D941" s="221"/>
      <c r="E941" s="221"/>
      <c r="F941" s="221"/>
      <c r="G941" s="221"/>
      <c r="H941" s="221"/>
      <c r="I941" s="221"/>
      <c r="J941" s="221"/>
      <c r="K941" s="221"/>
      <c r="L941" s="221"/>
      <c r="M941" s="221"/>
      <c r="N941" s="221"/>
      <c r="O941" s="221"/>
      <c r="P941" s="221"/>
      <c r="Q941" s="221"/>
      <c r="R941" s="221"/>
      <c r="S941" s="221"/>
      <c r="T941" s="221"/>
      <c r="U941" s="221"/>
      <c r="V941" s="221"/>
      <c r="W941" s="221"/>
      <c r="X941" s="221"/>
    </row>
    <row r="942" spans="1:24" ht="14" x14ac:dyDescent="0.3">
      <c r="A942" s="221"/>
      <c r="B942" s="221"/>
      <c r="C942" s="221"/>
      <c r="D942" s="221"/>
      <c r="E942" s="221"/>
      <c r="F942" s="221"/>
      <c r="G942" s="221"/>
      <c r="H942" s="221"/>
      <c r="I942" s="221"/>
      <c r="J942" s="221"/>
      <c r="K942" s="221"/>
      <c r="L942" s="221"/>
      <c r="M942" s="221"/>
      <c r="N942" s="221"/>
      <c r="O942" s="221"/>
      <c r="P942" s="221"/>
      <c r="Q942" s="221"/>
      <c r="R942" s="221"/>
      <c r="S942" s="221"/>
      <c r="T942" s="221"/>
      <c r="U942" s="221"/>
      <c r="V942" s="221"/>
      <c r="W942" s="221"/>
      <c r="X942" s="221"/>
    </row>
    <row r="943" spans="1:24" ht="14" x14ac:dyDescent="0.3">
      <c r="A943" s="221"/>
      <c r="B943" s="221"/>
      <c r="C943" s="221"/>
      <c r="D943" s="221"/>
      <c r="E943" s="221"/>
      <c r="F943" s="221"/>
      <c r="G943" s="221"/>
      <c r="H943" s="221"/>
      <c r="I943" s="221"/>
      <c r="J943" s="221"/>
      <c r="K943" s="221"/>
      <c r="L943" s="221"/>
      <c r="M943" s="221"/>
      <c r="N943" s="221"/>
      <c r="O943" s="221"/>
      <c r="P943" s="221"/>
      <c r="Q943" s="221"/>
      <c r="R943" s="221"/>
      <c r="S943" s="221"/>
      <c r="T943" s="221"/>
      <c r="U943" s="221"/>
      <c r="V943" s="221"/>
      <c r="W943" s="221"/>
      <c r="X943" s="221"/>
    </row>
    <row r="944" spans="1:24" ht="14" x14ac:dyDescent="0.3">
      <c r="A944" s="221"/>
      <c r="B944" s="221"/>
      <c r="C944" s="221"/>
      <c r="D944" s="221"/>
      <c r="E944" s="221"/>
      <c r="F944" s="221"/>
      <c r="G944" s="221"/>
      <c r="H944" s="221"/>
      <c r="I944" s="221"/>
      <c r="J944" s="221"/>
      <c r="K944" s="221"/>
      <c r="L944" s="221"/>
      <c r="M944" s="221"/>
      <c r="N944" s="221"/>
      <c r="O944" s="221"/>
      <c r="P944" s="221"/>
      <c r="Q944" s="221"/>
      <c r="R944" s="221"/>
      <c r="S944" s="221"/>
      <c r="T944" s="221"/>
      <c r="U944" s="221"/>
      <c r="V944" s="221"/>
      <c r="W944" s="221"/>
      <c r="X944" s="221"/>
    </row>
    <row r="945" spans="1:24" ht="14" x14ac:dyDescent="0.3">
      <c r="A945" s="221"/>
      <c r="B945" s="221"/>
      <c r="C945" s="221"/>
      <c r="D945" s="221"/>
      <c r="E945" s="221"/>
      <c r="F945" s="221"/>
      <c r="G945" s="221"/>
      <c r="H945" s="221"/>
      <c r="I945" s="221"/>
      <c r="J945" s="221"/>
      <c r="K945" s="221"/>
      <c r="L945" s="221"/>
      <c r="M945" s="221"/>
      <c r="N945" s="221"/>
      <c r="O945" s="221"/>
      <c r="P945" s="221"/>
      <c r="Q945" s="221"/>
      <c r="R945" s="221"/>
      <c r="S945" s="221"/>
      <c r="T945" s="221"/>
      <c r="U945" s="221"/>
      <c r="V945" s="221"/>
      <c r="W945" s="221"/>
      <c r="X945" s="221"/>
    </row>
    <row r="946" spans="1:24" ht="14" x14ac:dyDescent="0.3">
      <c r="A946" s="221"/>
      <c r="B946" s="221"/>
      <c r="C946" s="221"/>
      <c r="D946" s="221"/>
      <c r="E946" s="221"/>
      <c r="F946" s="221"/>
      <c r="G946" s="221"/>
      <c r="H946" s="221"/>
      <c r="I946" s="221"/>
      <c r="J946" s="221"/>
      <c r="K946" s="221"/>
      <c r="L946" s="221"/>
      <c r="M946" s="221"/>
      <c r="N946" s="221"/>
      <c r="O946" s="221"/>
      <c r="P946" s="221"/>
      <c r="Q946" s="221"/>
      <c r="R946" s="221"/>
      <c r="S946" s="221"/>
      <c r="T946" s="221"/>
      <c r="U946" s="221"/>
      <c r="V946" s="221"/>
      <c r="W946" s="221"/>
      <c r="X946" s="221"/>
    </row>
    <row r="947" spans="1:24" ht="14" x14ac:dyDescent="0.3">
      <c r="A947" s="221"/>
      <c r="B947" s="221"/>
      <c r="C947" s="221"/>
      <c r="D947" s="221"/>
      <c r="E947" s="221"/>
      <c r="F947" s="221"/>
      <c r="G947" s="221"/>
      <c r="H947" s="221"/>
      <c r="I947" s="221"/>
      <c r="J947" s="221"/>
      <c r="K947" s="221"/>
      <c r="L947" s="221"/>
      <c r="M947" s="221"/>
      <c r="N947" s="221"/>
      <c r="O947" s="221"/>
      <c r="P947" s="221"/>
      <c r="Q947" s="221"/>
      <c r="R947" s="221"/>
      <c r="S947" s="221"/>
      <c r="T947" s="221"/>
      <c r="U947" s="221"/>
      <c r="V947" s="221"/>
      <c r="W947" s="221"/>
      <c r="X947" s="221"/>
    </row>
    <row r="948" spans="1:24" ht="14" x14ac:dyDescent="0.3">
      <c r="A948" s="221"/>
      <c r="B948" s="221"/>
      <c r="C948" s="221"/>
      <c r="D948" s="221"/>
      <c r="E948" s="221"/>
      <c r="F948" s="221"/>
      <c r="G948" s="221"/>
      <c r="H948" s="221"/>
      <c r="I948" s="221"/>
      <c r="J948" s="221"/>
      <c r="K948" s="221"/>
      <c r="L948" s="221"/>
      <c r="M948" s="221"/>
      <c r="N948" s="221"/>
      <c r="O948" s="221"/>
      <c r="P948" s="221"/>
      <c r="Q948" s="221"/>
      <c r="R948" s="221"/>
      <c r="S948" s="221"/>
      <c r="T948" s="221"/>
      <c r="U948" s="221"/>
      <c r="V948" s="221"/>
      <c r="W948" s="221"/>
      <c r="X948" s="221"/>
    </row>
    <row r="949" spans="1:24" ht="14" x14ac:dyDescent="0.3">
      <c r="A949" s="221"/>
      <c r="B949" s="221"/>
      <c r="C949" s="221"/>
      <c r="D949" s="221"/>
      <c r="E949" s="221"/>
      <c r="F949" s="221"/>
      <c r="G949" s="221"/>
      <c r="H949" s="221"/>
      <c r="I949" s="221"/>
      <c r="J949" s="221"/>
      <c r="K949" s="221"/>
      <c r="L949" s="221"/>
      <c r="M949" s="221"/>
      <c r="N949" s="221"/>
      <c r="O949" s="221"/>
      <c r="P949" s="221"/>
      <c r="Q949" s="221"/>
      <c r="R949" s="221"/>
      <c r="S949" s="221"/>
      <c r="T949" s="221"/>
      <c r="U949" s="221"/>
      <c r="V949" s="221"/>
      <c r="W949" s="221"/>
      <c r="X949" s="221"/>
    </row>
    <row r="950" spans="1:24" ht="14" x14ac:dyDescent="0.3">
      <c r="A950" s="221"/>
      <c r="B950" s="221"/>
      <c r="C950" s="221"/>
      <c r="D950" s="221"/>
      <c r="E950" s="221"/>
      <c r="F950" s="221"/>
      <c r="G950" s="221"/>
      <c r="H950" s="221"/>
      <c r="I950" s="221"/>
      <c r="J950" s="221"/>
      <c r="K950" s="221"/>
      <c r="L950" s="221"/>
      <c r="M950" s="221"/>
      <c r="N950" s="221"/>
      <c r="O950" s="221"/>
      <c r="P950" s="221"/>
      <c r="Q950" s="221"/>
      <c r="R950" s="221"/>
      <c r="S950" s="221"/>
      <c r="T950" s="221"/>
      <c r="U950" s="221"/>
      <c r="V950" s="221"/>
      <c r="W950" s="221"/>
      <c r="X950" s="221"/>
    </row>
    <row r="951" spans="1:24" ht="14" x14ac:dyDescent="0.3">
      <c r="A951" s="221"/>
      <c r="B951" s="221"/>
      <c r="C951" s="221"/>
      <c r="D951" s="221"/>
      <c r="E951" s="221"/>
      <c r="F951" s="221"/>
      <c r="G951" s="221"/>
      <c r="H951" s="221"/>
      <c r="I951" s="221"/>
      <c r="J951" s="221"/>
      <c r="K951" s="221"/>
      <c r="L951" s="221"/>
      <c r="M951" s="221"/>
      <c r="N951" s="221"/>
      <c r="O951" s="221"/>
      <c r="P951" s="221"/>
      <c r="Q951" s="221"/>
      <c r="R951" s="221"/>
      <c r="S951" s="221"/>
      <c r="T951" s="221"/>
      <c r="U951" s="221"/>
      <c r="V951" s="221"/>
      <c r="W951" s="221"/>
      <c r="X951" s="221"/>
    </row>
    <row r="952" spans="1:24" ht="14" x14ac:dyDescent="0.3">
      <c r="A952" s="221"/>
      <c r="B952" s="221"/>
      <c r="C952" s="221"/>
      <c r="D952" s="221"/>
      <c r="E952" s="221"/>
      <c r="F952" s="221"/>
      <c r="G952" s="221"/>
      <c r="H952" s="221"/>
      <c r="I952" s="221"/>
      <c r="J952" s="221"/>
      <c r="K952" s="221"/>
      <c r="L952" s="221"/>
      <c r="M952" s="221"/>
      <c r="N952" s="221"/>
      <c r="O952" s="221"/>
      <c r="P952" s="221"/>
      <c r="Q952" s="221"/>
      <c r="R952" s="221"/>
      <c r="S952" s="221"/>
      <c r="T952" s="221"/>
      <c r="U952" s="221"/>
      <c r="V952" s="221"/>
      <c r="W952" s="221"/>
      <c r="X952" s="221"/>
    </row>
    <row r="953" spans="1:24" ht="14" x14ac:dyDescent="0.3">
      <c r="A953" s="221"/>
      <c r="B953" s="221"/>
      <c r="C953" s="221"/>
      <c r="D953" s="221"/>
      <c r="E953" s="221"/>
      <c r="F953" s="221"/>
      <c r="G953" s="221"/>
      <c r="H953" s="221"/>
      <c r="I953" s="221"/>
      <c r="J953" s="221"/>
      <c r="K953" s="221"/>
      <c r="L953" s="221"/>
      <c r="M953" s="221"/>
      <c r="N953" s="221"/>
      <c r="O953" s="221"/>
      <c r="P953" s="221"/>
      <c r="Q953" s="221"/>
      <c r="R953" s="221"/>
      <c r="S953" s="221"/>
      <c r="T953" s="221"/>
      <c r="U953" s="221"/>
      <c r="V953" s="221"/>
      <c r="W953" s="221"/>
      <c r="X953" s="221"/>
    </row>
    <row r="954" spans="1:24" ht="14" x14ac:dyDescent="0.3">
      <c r="A954" s="221"/>
      <c r="B954" s="221"/>
      <c r="C954" s="221"/>
      <c r="D954" s="221"/>
      <c r="E954" s="221"/>
      <c r="F954" s="221"/>
      <c r="G954" s="221"/>
      <c r="H954" s="221"/>
      <c r="I954" s="221"/>
      <c r="J954" s="221"/>
      <c r="K954" s="221"/>
      <c r="L954" s="221"/>
      <c r="M954" s="221"/>
      <c r="N954" s="221"/>
      <c r="O954" s="221"/>
      <c r="P954" s="221"/>
      <c r="Q954" s="221"/>
      <c r="R954" s="221"/>
      <c r="S954" s="221"/>
      <c r="T954" s="221"/>
      <c r="U954" s="221"/>
      <c r="V954" s="221"/>
      <c r="W954" s="221"/>
      <c r="X954" s="221"/>
    </row>
    <row r="955" spans="1:24" ht="14" x14ac:dyDescent="0.3">
      <c r="A955" s="221"/>
      <c r="B955" s="221"/>
      <c r="C955" s="221"/>
      <c r="D955" s="221"/>
      <c r="E955" s="221"/>
      <c r="F955" s="221"/>
      <c r="G955" s="221"/>
      <c r="H955" s="221"/>
      <c r="I955" s="221"/>
      <c r="J955" s="221"/>
      <c r="K955" s="221"/>
      <c r="L955" s="221"/>
      <c r="M955" s="221"/>
      <c r="N955" s="221"/>
      <c r="O955" s="221"/>
      <c r="P955" s="221"/>
      <c r="Q955" s="221"/>
      <c r="R955" s="221"/>
      <c r="S955" s="221"/>
      <c r="T955" s="221"/>
      <c r="U955" s="221"/>
      <c r="V955" s="221"/>
      <c r="W955" s="221"/>
      <c r="X955" s="221"/>
    </row>
    <row r="956" spans="1:24" ht="14" x14ac:dyDescent="0.3">
      <c r="A956" s="221"/>
      <c r="B956" s="221"/>
      <c r="C956" s="221"/>
      <c r="D956" s="221"/>
      <c r="E956" s="221"/>
      <c r="F956" s="221"/>
      <c r="G956" s="221"/>
      <c r="H956" s="221"/>
      <c r="I956" s="221"/>
      <c r="J956" s="221"/>
      <c r="K956" s="221"/>
      <c r="L956" s="221"/>
      <c r="M956" s="221"/>
      <c r="N956" s="221"/>
      <c r="O956" s="221"/>
      <c r="P956" s="221"/>
      <c r="Q956" s="221"/>
      <c r="R956" s="221"/>
      <c r="S956" s="221"/>
      <c r="T956" s="221"/>
      <c r="U956" s="221"/>
      <c r="V956" s="221"/>
      <c r="W956" s="221"/>
      <c r="X956" s="221"/>
    </row>
    <row r="957" spans="1:24" ht="14" x14ac:dyDescent="0.3">
      <c r="A957" s="221"/>
      <c r="B957" s="221"/>
      <c r="C957" s="221"/>
      <c r="D957" s="221"/>
      <c r="E957" s="221"/>
      <c r="F957" s="221"/>
      <c r="G957" s="221"/>
      <c r="H957" s="221"/>
      <c r="I957" s="221"/>
      <c r="J957" s="221"/>
      <c r="K957" s="221"/>
      <c r="L957" s="221"/>
      <c r="M957" s="221"/>
      <c r="N957" s="221"/>
      <c r="O957" s="221"/>
      <c r="P957" s="221"/>
      <c r="Q957" s="221"/>
      <c r="R957" s="221"/>
      <c r="S957" s="221"/>
      <c r="T957" s="221"/>
      <c r="U957" s="221"/>
      <c r="V957" s="221"/>
      <c r="W957" s="221"/>
      <c r="X957" s="221"/>
    </row>
    <row r="958" spans="1:24" ht="14" x14ac:dyDescent="0.3">
      <c r="A958" s="221"/>
      <c r="B958" s="221"/>
      <c r="C958" s="221"/>
      <c r="D958" s="221"/>
      <c r="E958" s="221"/>
      <c r="F958" s="221"/>
      <c r="G958" s="221"/>
      <c r="H958" s="221"/>
      <c r="I958" s="221"/>
      <c r="J958" s="221"/>
      <c r="K958" s="221"/>
      <c r="L958" s="221"/>
      <c r="M958" s="221"/>
      <c r="N958" s="221"/>
      <c r="O958" s="221"/>
      <c r="P958" s="221"/>
      <c r="Q958" s="221"/>
      <c r="R958" s="221"/>
      <c r="S958" s="221"/>
      <c r="T958" s="221"/>
      <c r="U958" s="221"/>
      <c r="V958" s="221"/>
      <c r="W958" s="221"/>
      <c r="X958" s="221"/>
    </row>
    <row r="959" spans="1:24" ht="14" x14ac:dyDescent="0.3">
      <c r="A959" s="221"/>
      <c r="B959" s="221"/>
      <c r="C959" s="221"/>
      <c r="D959" s="221"/>
      <c r="E959" s="221"/>
      <c r="F959" s="221"/>
      <c r="G959" s="221"/>
      <c r="H959" s="221"/>
      <c r="I959" s="221"/>
      <c r="J959" s="221"/>
      <c r="K959" s="221"/>
      <c r="L959" s="221"/>
      <c r="M959" s="221"/>
      <c r="N959" s="221"/>
      <c r="O959" s="221"/>
      <c r="P959" s="221"/>
      <c r="Q959" s="221"/>
      <c r="R959" s="221"/>
      <c r="S959" s="221"/>
      <c r="T959" s="221"/>
      <c r="U959" s="221"/>
      <c r="V959" s="221"/>
      <c r="W959" s="221"/>
      <c r="X959" s="221"/>
    </row>
    <row r="960" spans="1:24" ht="14" x14ac:dyDescent="0.3">
      <c r="A960" s="221"/>
      <c r="B960" s="221"/>
      <c r="C960" s="221"/>
      <c r="D960" s="221"/>
      <c r="E960" s="221"/>
      <c r="F960" s="221"/>
      <c r="G960" s="221"/>
      <c r="H960" s="221"/>
      <c r="I960" s="221"/>
      <c r="J960" s="221"/>
      <c r="K960" s="221"/>
      <c r="L960" s="221"/>
      <c r="M960" s="221"/>
      <c r="N960" s="221"/>
      <c r="O960" s="221"/>
      <c r="P960" s="221"/>
      <c r="Q960" s="221"/>
      <c r="R960" s="221"/>
      <c r="S960" s="221"/>
      <c r="T960" s="221"/>
      <c r="U960" s="221"/>
      <c r="V960" s="221"/>
      <c r="W960" s="221"/>
      <c r="X960" s="221"/>
    </row>
    <row r="961" spans="1:24" ht="14" x14ac:dyDescent="0.3">
      <c r="A961" s="221"/>
      <c r="B961" s="221"/>
      <c r="C961" s="221"/>
      <c r="D961" s="221"/>
      <c r="E961" s="221"/>
      <c r="F961" s="221"/>
      <c r="G961" s="221"/>
      <c r="H961" s="221"/>
      <c r="I961" s="221"/>
      <c r="J961" s="221"/>
      <c r="K961" s="221"/>
      <c r="L961" s="221"/>
      <c r="M961" s="221"/>
      <c r="N961" s="221"/>
      <c r="O961" s="221"/>
      <c r="P961" s="221"/>
      <c r="Q961" s="221"/>
      <c r="R961" s="221"/>
      <c r="S961" s="221"/>
      <c r="T961" s="221"/>
      <c r="U961" s="221"/>
      <c r="V961" s="221"/>
      <c r="W961" s="221"/>
      <c r="X961" s="221"/>
    </row>
    <row r="962" spans="1:24" ht="14" x14ac:dyDescent="0.3">
      <c r="A962" s="221"/>
      <c r="B962" s="221"/>
      <c r="C962" s="221"/>
      <c r="D962" s="221"/>
      <c r="E962" s="221"/>
      <c r="F962" s="221"/>
      <c r="G962" s="221"/>
      <c r="H962" s="221"/>
      <c r="I962" s="221"/>
      <c r="J962" s="221"/>
      <c r="K962" s="221"/>
      <c r="L962" s="221"/>
      <c r="M962" s="221"/>
      <c r="N962" s="221"/>
      <c r="O962" s="221"/>
      <c r="P962" s="221"/>
      <c r="Q962" s="221"/>
      <c r="R962" s="221"/>
      <c r="S962" s="221"/>
      <c r="T962" s="221"/>
      <c r="U962" s="221"/>
      <c r="V962" s="221"/>
      <c r="W962" s="221"/>
      <c r="X962" s="221"/>
    </row>
    <row r="963" spans="1:24" ht="14" x14ac:dyDescent="0.3">
      <c r="A963" s="221"/>
      <c r="B963" s="221"/>
      <c r="C963" s="221"/>
      <c r="D963" s="221"/>
      <c r="E963" s="221"/>
      <c r="F963" s="221"/>
      <c r="G963" s="221"/>
      <c r="H963" s="221"/>
      <c r="I963" s="221"/>
      <c r="J963" s="221"/>
      <c r="K963" s="221"/>
      <c r="L963" s="221"/>
      <c r="M963" s="221"/>
      <c r="N963" s="221"/>
      <c r="O963" s="221"/>
      <c r="P963" s="221"/>
      <c r="Q963" s="221"/>
      <c r="R963" s="221"/>
      <c r="S963" s="221"/>
      <c r="T963" s="221"/>
      <c r="U963" s="221"/>
      <c r="V963" s="221"/>
      <c r="W963" s="221"/>
      <c r="X963" s="221"/>
    </row>
  </sheetData>
  <protectedRanges>
    <protectedRange algorithmName="SHA-512" hashValue="j3XsBJ/4oW7THc1pniNLw8XRBsgESbQ857IwPu949UcSVPY96V3DWuZX1U2Ec93m6DuuFDc7tboDDTyMEKyTDQ==" saltValue="X+TUyFS1zuOqoTMBESWM/A==" spinCount="100000" sqref="U335:X1048576" name="Scoring_2_1"/>
    <protectedRange algorithmName="SHA-512" hashValue="hMq1DBbiST668jQyDIjIdbBnNW/u/dnbrQHZfHWR7uIKwZIiBO+5ViwdHPKc92t7W7d7IST1EqGe60eXCoNiBQ==" saltValue="NLiPFIp7sPxnbiXS647sLw==" spinCount="100000" sqref="C335:N1048576" name="CN_2_1"/>
    <protectedRange algorithmName="SHA-512" hashValue="VeZxzcLzQLMY74mwZ3DEb7CD93dWi64TdZtCudah6V3/NiExsNLX6eMmYvZ1d+Bvt41C3C+VTL2soEmQak61mw==" saltValue="v5uT1IpTW7cftqGrkR6zIQ==" spinCount="100000" sqref="A335:A995" name="ID_2_1"/>
    <protectedRange algorithmName="SHA-512" hashValue="j3XsBJ/4oW7THc1pniNLw8XRBsgESbQ857IwPu949UcSVPY96V3DWuZX1U2Ec93m6DuuFDc7tboDDTyMEKyTDQ==" saltValue="X+TUyFS1zuOqoTMBESWM/A==" spinCount="100000" sqref="U1:X334" name="Scoring_2_1_1"/>
    <protectedRange algorithmName="SHA-512" hashValue="hMq1DBbiST668jQyDIjIdbBnNW/u/dnbrQHZfHWR7uIKwZIiBO+5ViwdHPKc92t7W7d7IST1EqGe60eXCoNiBQ==" saltValue="NLiPFIp7sPxnbiXS647sLw==" spinCount="100000" sqref="C1:N334" name="CN_2_1_1"/>
    <protectedRange algorithmName="SHA-512" hashValue="VeZxzcLzQLMY74mwZ3DEb7CD93dWi64TdZtCudah6V3/NiExsNLX6eMmYvZ1d+Bvt41C3C+VTL2soEmQak61mw==" saltValue="v5uT1IpTW7cftqGrkR6zIQ==" spinCount="100000" sqref="A2:A334" name="ID_2_1_1"/>
  </protectedRanges>
  <autoFilter ref="A2:X334" xr:uid="{F149DD12-A215-4F94-9D0E-7008C3D3A25F}"/>
  <phoneticPr fontId="26"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14B87-CBA7-4F67-BED8-B1047987ACB5}">
  <sheetPr>
    <tabColor rgb="FFFF0000"/>
    <outlinePr summaryBelow="0" summaryRight="0"/>
  </sheetPr>
  <dimension ref="A1:AH65"/>
  <sheetViews>
    <sheetView topLeftCell="E2" zoomScale="90" zoomScaleNormal="90" workbookViewId="0">
      <selection activeCell="J5" sqref="J5"/>
    </sheetView>
  </sheetViews>
  <sheetFormatPr defaultColWidth="0" defaultRowHeight="15.75" customHeight="1" zeroHeight="1" x14ac:dyDescent="0.3"/>
  <cols>
    <col min="1" max="1" width="67" style="5" bestFit="1" customWidth="1"/>
    <col min="2" max="2" width="28.59765625" style="5" bestFit="1" customWidth="1"/>
    <col min="3" max="3" width="2.59765625" style="223" customWidth="1"/>
    <col min="4" max="4" width="78.1328125" style="5" customWidth="1"/>
    <col min="5" max="5" width="2.59765625" style="225" customWidth="1"/>
    <col min="6" max="6" width="101.59765625" style="5" customWidth="1"/>
    <col min="7" max="7" width="2.59765625" style="225" customWidth="1"/>
    <col min="8" max="8" width="73" style="5" customWidth="1"/>
    <col min="9" max="9" width="2.59765625" style="225" customWidth="1"/>
    <col min="10" max="10" width="14.59765625" style="5" customWidth="1"/>
    <col min="11" max="11" width="2.59765625" style="225" customWidth="1"/>
    <col min="12" max="12" width="14.59765625" style="5" customWidth="1"/>
    <col min="13" max="13" width="2.59765625" style="225" customWidth="1"/>
    <col min="14" max="14" width="8.59765625" style="5" customWidth="1"/>
    <col min="15" max="15" width="40.1328125" style="5" bestFit="1" customWidth="1"/>
    <col min="16" max="17" width="8.59765625" style="5" customWidth="1"/>
    <col min="18" max="34" width="0" style="5" hidden="1" customWidth="1"/>
    <col min="35" max="16384" width="8.59765625" style="5" hidden="1"/>
  </cols>
  <sheetData>
    <row r="1" spans="1:34" ht="15.75" hidden="1" customHeight="1" x14ac:dyDescent="0.3">
      <c r="A1" s="239" t="s">
        <v>1992</v>
      </c>
    </row>
    <row r="2" spans="1:34" ht="13" x14ac:dyDescent="0.3">
      <c r="A2" s="7" t="s">
        <v>1993</v>
      </c>
      <c r="B2" s="7" t="s">
        <v>1994</v>
      </c>
      <c r="C2" s="222"/>
      <c r="D2" s="7" t="s">
        <v>3</v>
      </c>
      <c r="E2" s="224"/>
      <c r="F2" s="7" t="s">
        <v>1995</v>
      </c>
      <c r="G2" s="224"/>
      <c r="H2" s="7" t="s">
        <v>1996</v>
      </c>
      <c r="I2" s="224"/>
      <c r="J2" s="92" t="s">
        <v>1997</v>
      </c>
      <c r="K2" s="228"/>
      <c r="L2" s="92" t="s">
        <v>1998</v>
      </c>
      <c r="M2" s="228"/>
      <c r="N2" s="92" t="s">
        <v>1999</v>
      </c>
      <c r="P2" s="62"/>
      <c r="Q2" s="7"/>
      <c r="R2" s="7"/>
      <c r="S2" s="7"/>
      <c r="T2" s="7"/>
      <c r="U2" s="7"/>
      <c r="V2" s="7"/>
      <c r="W2" s="7"/>
      <c r="X2" s="7"/>
      <c r="Y2" s="7"/>
      <c r="Z2" s="7"/>
      <c r="AA2" s="7"/>
      <c r="AB2" s="7"/>
      <c r="AC2" s="7"/>
      <c r="AD2" s="7"/>
      <c r="AE2" s="7"/>
      <c r="AF2" s="7"/>
      <c r="AG2" s="7"/>
      <c r="AH2" s="7"/>
    </row>
    <row r="3" spans="1:34" ht="13" x14ac:dyDescent="0.3">
      <c r="A3" s="6" t="s">
        <v>2000</v>
      </c>
      <c r="B3" s="6" t="s">
        <v>2001</v>
      </c>
      <c r="D3" s="6" t="s">
        <v>2002</v>
      </c>
      <c r="F3" s="6" t="s">
        <v>2003</v>
      </c>
      <c r="H3" s="212" t="s">
        <v>2004</v>
      </c>
      <c r="I3" s="226"/>
      <c r="J3" s="5" t="s">
        <v>26</v>
      </c>
      <c r="L3" s="5" t="s">
        <v>2005</v>
      </c>
      <c r="N3" s="93" t="s">
        <v>643</v>
      </c>
      <c r="O3" s="93" t="s">
        <v>2006</v>
      </c>
      <c r="P3" s="94" t="s">
        <v>2007</v>
      </c>
    </row>
    <row r="4" spans="1:34" ht="13" x14ac:dyDescent="0.3">
      <c r="A4" s="6" t="s">
        <v>2008</v>
      </c>
      <c r="B4" s="6" t="s">
        <v>2009</v>
      </c>
      <c r="D4" s="6" t="s">
        <v>2010</v>
      </c>
      <c r="F4" s="6" t="s">
        <v>2011</v>
      </c>
      <c r="H4" s="6" t="s">
        <v>2012</v>
      </c>
      <c r="I4" s="227"/>
      <c r="J4" s="5" t="s">
        <v>46</v>
      </c>
      <c r="L4" s="5" t="s">
        <v>1462</v>
      </c>
      <c r="N4" s="353" t="s">
        <v>2013</v>
      </c>
      <c r="O4" s="5" t="s">
        <v>2014</v>
      </c>
      <c r="P4" s="62">
        <f>COUNTIF('(backend scoring)'!$B:$B,'Auto Responses'!$N4)</f>
        <v>9</v>
      </c>
    </row>
    <row r="5" spans="1:34" ht="13" x14ac:dyDescent="0.3">
      <c r="A5" s="6" t="s">
        <v>2015</v>
      </c>
      <c r="B5" s="6" t="s">
        <v>2016</v>
      </c>
      <c r="D5" s="6" t="s">
        <v>2017</v>
      </c>
      <c r="F5" s="6" t="s">
        <v>2018</v>
      </c>
      <c r="H5" s="6" t="s">
        <v>2019</v>
      </c>
      <c r="I5" s="227"/>
      <c r="J5" s="5" t="s">
        <v>243</v>
      </c>
      <c r="L5" s="5" t="s">
        <v>2020</v>
      </c>
      <c r="N5" s="353" t="s">
        <v>600</v>
      </c>
      <c r="O5" s="5" t="s">
        <v>2021</v>
      </c>
      <c r="P5" s="62">
        <f>COUNTIF('(backend scoring)'!$B:$B,'Auto Responses'!$N5)</f>
        <v>5</v>
      </c>
    </row>
    <row r="6" spans="1:34" ht="13" x14ac:dyDescent="0.3">
      <c r="A6" s="6" t="s">
        <v>2022</v>
      </c>
      <c r="B6" s="6" t="s">
        <v>2023</v>
      </c>
      <c r="D6" s="6" t="s">
        <v>2024</v>
      </c>
      <c r="F6" s="6" t="s">
        <v>2025</v>
      </c>
      <c r="L6" s="5" t="s">
        <v>2026</v>
      </c>
      <c r="N6" s="353" t="s">
        <v>2027</v>
      </c>
      <c r="O6" s="5" t="s">
        <v>2028</v>
      </c>
      <c r="P6" s="62">
        <f>COUNTIF('(backend scoring)'!$B:$B,'Auto Responses'!$N6)</f>
        <v>8</v>
      </c>
    </row>
    <row r="7" spans="1:34" ht="13" x14ac:dyDescent="0.3">
      <c r="A7" s="6" t="s">
        <v>2029</v>
      </c>
      <c r="B7" s="6" t="s">
        <v>2030</v>
      </c>
      <c r="D7" s="6" t="s">
        <v>2031</v>
      </c>
      <c r="F7" s="6" t="s">
        <v>2032</v>
      </c>
      <c r="J7" s="5" t="s">
        <v>2033</v>
      </c>
      <c r="L7" s="5" t="s">
        <v>2034</v>
      </c>
      <c r="N7" s="353" t="s">
        <v>601</v>
      </c>
      <c r="O7" s="5" t="s">
        <v>2035</v>
      </c>
      <c r="P7" s="62">
        <f>COUNTIF('(backend scoring)'!$B:$B,'Auto Responses'!$N7)</f>
        <v>7</v>
      </c>
    </row>
    <row r="8" spans="1:34" ht="13" x14ac:dyDescent="0.3">
      <c r="A8" s="6" t="s">
        <v>2036</v>
      </c>
      <c r="B8" s="6" t="s">
        <v>2037</v>
      </c>
      <c r="D8" s="5" t="s">
        <v>2038</v>
      </c>
      <c r="F8" s="5" t="s">
        <v>2039</v>
      </c>
      <c r="J8" s="5" t="s">
        <v>2040</v>
      </c>
      <c r="L8" s="5" t="s">
        <v>2041</v>
      </c>
      <c r="N8" s="353" t="s">
        <v>616</v>
      </c>
      <c r="O8" s="5" t="s">
        <v>2042</v>
      </c>
      <c r="P8" s="62">
        <f>COUNTIF('(backend scoring)'!$B:$B,'Auto Responses'!$N8)</f>
        <v>18</v>
      </c>
    </row>
    <row r="9" spans="1:34" ht="13" x14ac:dyDescent="0.3">
      <c r="A9" s="6" t="s">
        <v>2043</v>
      </c>
      <c r="B9" s="6" t="s">
        <v>2044</v>
      </c>
      <c r="D9" s="5" t="s">
        <v>2045</v>
      </c>
      <c r="L9" s="5" t="s">
        <v>1496</v>
      </c>
      <c r="N9" s="353" t="s">
        <v>602</v>
      </c>
      <c r="O9" s="5" t="s">
        <v>2046</v>
      </c>
      <c r="P9" s="62">
        <f>COUNTIF('(backend scoring)'!$B:$B,'Auto Responses'!$N9)</f>
        <v>5</v>
      </c>
    </row>
    <row r="10" spans="1:34" ht="13" x14ac:dyDescent="0.3">
      <c r="A10" s="6" t="s">
        <v>2047</v>
      </c>
      <c r="B10" s="6" t="s">
        <v>2048</v>
      </c>
      <c r="N10" s="353" t="s">
        <v>612</v>
      </c>
      <c r="O10" s="5" t="s">
        <v>2049</v>
      </c>
      <c r="P10" s="62">
        <f>COUNTIF('(backend scoring)'!$B:$B,'Auto Responses'!$N10)</f>
        <v>9</v>
      </c>
    </row>
    <row r="11" spans="1:34" ht="13" x14ac:dyDescent="0.3">
      <c r="A11" s="6" t="s">
        <v>2050</v>
      </c>
      <c r="B11" s="6" t="s">
        <v>2051</v>
      </c>
      <c r="J11" s="5" t="s">
        <v>769</v>
      </c>
      <c r="N11" s="353" t="s">
        <v>607</v>
      </c>
      <c r="O11" s="5" t="s">
        <v>2052</v>
      </c>
      <c r="P11" s="62">
        <f>COUNTIF('(backend scoring)'!$B:$B,'Auto Responses'!$N11)</f>
        <v>14</v>
      </c>
    </row>
    <row r="12" spans="1:34" ht="13" x14ac:dyDescent="0.3">
      <c r="A12" s="6" t="s">
        <v>2053</v>
      </c>
      <c r="B12" s="6" t="s">
        <v>2054</v>
      </c>
      <c r="F12" s="6"/>
      <c r="J12" s="5" t="s">
        <v>718</v>
      </c>
      <c r="L12" s="92" t="s">
        <v>2055</v>
      </c>
      <c r="N12" s="353" t="s">
        <v>605</v>
      </c>
      <c r="O12" s="5" t="s">
        <v>2056</v>
      </c>
      <c r="P12" s="62">
        <f>COUNTIF('(backend scoring)'!$B:$B,'Auto Responses'!$N12)</f>
        <v>18</v>
      </c>
    </row>
    <row r="13" spans="1:34" ht="13" x14ac:dyDescent="0.3">
      <c r="A13" s="6" t="s">
        <v>2057</v>
      </c>
      <c r="B13" s="6" t="s">
        <v>2058</v>
      </c>
      <c r="F13" s="6"/>
      <c r="J13" s="5" t="s">
        <v>727</v>
      </c>
      <c r="L13" s="5" t="s">
        <v>698</v>
      </c>
      <c r="N13" s="353" t="s">
        <v>603</v>
      </c>
      <c r="O13" s="5" t="s">
        <v>2059</v>
      </c>
      <c r="P13" s="62">
        <f>COUNTIF('(backend scoring)'!$B:$B,'Auto Responses'!$N13)</f>
        <v>16</v>
      </c>
    </row>
    <row r="14" spans="1:34" ht="13" x14ac:dyDescent="0.3">
      <c r="A14" s="6" t="s">
        <v>744</v>
      </c>
      <c r="B14" s="6" t="s">
        <v>2060</v>
      </c>
      <c r="J14" s="5" t="s">
        <v>2061</v>
      </c>
      <c r="L14" s="5" t="s">
        <v>2062</v>
      </c>
      <c r="N14" s="353" t="s">
        <v>606</v>
      </c>
      <c r="O14" s="5" t="s">
        <v>2063</v>
      </c>
      <c r="P14" s="62">
        <f>COUNTIF('(backend scoring)'!$B:$B,'Auto Responses'!$N14)</f>
        <v>23</v>
      </c>
    </row>
    <row r="15" spans="1:34" ht="13" x14ac:dyDescent="0.3">
      <c r="A15" s="6" t="s">
        <v>743</v>
      </c>
      <c r="B15" s="6" t="s">
        <v>2064</v>
      </c>
      <c r="L15" s="5" t="s">
        <v>767</v>
      </c>
      <c r="N15" s="353" t="s">
        <v>608</v>
      </c>
      <c r="O15" s="5" t="s">
        <v>2065</v>
      </c>
      <c r="P15" s="62">
        <f>COUNTIF('(backend scoring)'!$B:$B,'Auto Responses'!$N15)</f>
        <v>16</v>
      </c>
    </row>
    <row r="16" spans="1:34" ht="13" x14ac:dyDescent="0.3">
      <c r="A16" s="6" t="s">
        <v>2066</v>
      </c>
      <c r="B16" s="6" t="s">
        <v>2067</v>
      </c>
      <c r="L16" s="5" t="s">
        <v>678</v>
      </c>
      <c r="N16" s="353" t="s">
        <v>609</v>
      </c>
      <c r="O16" s="5" t="s">
        <v>2068</v>
      </c>
      <c r="P16" s="62">
        <f>COUNTIF('(backend scoring)'!$B:$B,'Auto Responses'!$N16)</f>
        <v>11</v>
      </c>
    </row>
    <row r="17" spans="1:20" ht="13" x14ac:dyDescent="0.3">
      <c r="A17" s="6" t="s">
        <v>2069</v>
      </c>
      <c r="B17" s="6" t="s">
        <v>2070</v>
      </c>
      <c r="J17" s="5" t="s">
        <v>2071</v>
      </c>
      <c r="L17" s="5" t="s">
        <v>903</v>
      </c>
      <c r="N17" s="353" t="s">
        <v>604</v>
      </c>
      <c r="O17" s="5" t="s">
        <v>2072</v>
      </c>
      <c r="P17" s="62">
        <f>COUNTIF('(backend scoring)'!$B:$B,'Auto Responses'!$N17)</f>
        <v>15</v>
      </c>
    </row>
    <row r="18" spans="1:20" ht="13" x14ac:dyDescent="0.3">
      <c r="A18" s="6" t="s">
        <v>2073</v>
      </c>
      <c r="B18" s="6" t="s">
        <v>2074</v>
      </c>
      <c r="J18" s="5" t="s">
        <v>2075</v>
      </c>
      <c r="L18" s="5" t="s">
        <v>804</v>
      </c>
      <c r="N18" s="353" t="s">
        <v>610</v>
      </c>
      <c r="O18" s="5" t="s">
        <v>2076</v>
      </c>
      <c r="P18" s="62">
        <f>COUNTIF('(backend scoring)'!$B:$B,'Auto Responses'!$N18)</f>
        <v>4</v>
      </c>
    </row>
    <row r="19" spans="1:20" ht="13" x14ac:dyDescent="0.3">
      <c r="A19" s="6" t="s">
        <v>2077</v>
      </c>
      <c r="B19" s="6" t="s">
        <v>2078</v>
      </c>
      <c r="J19" s="5" t="s">
        <v>2079</v>
      </c>
      <c r="L19" s="5" t="s">
        <v>890</v>
      </c>
      <c r="N19" s="353" t="s">
        <v>611</v>
      </c>
      <c r="O19" s="5" t="s">
        <v>2080</v>
      </c>
      <c r="P19" s="62">
        <f>COUNTIF('(backend scoring)'!$B:$B,'Auto Responses'!$N19)</f>
        <v>6</v>
      </c>
    </row>
    <row r="20" spans="1:20" ht="13" x14ac:dyDescent="0.3">
      <c r="A20" s="6" t="s">
        <v>2081</v>
      </c>
      <c r="B20" s="6" t="s">
        <v>2082</v>
      </c>
      <c r="J20" s="5" t="s">
        <v>2083</v>
      </c>
      <c r="L20" s="5" t="s">
        <v>682</v>
      </c>
      <c r="N20" s="353" t="s">
        <v>613</v>
      </c>
      <c r="O20" s="5" t="s">
        <v>2084</v>
      </c>
      <c r="P20" s="62">
        <f>COUNTIF('(backend scoring)'!$B:$B,'Auto Responses'!$N20)</f>
        <v>29</v>
      </c>
    </row>
    <row r="21" spans="1:20" ht="13" x14ac:dyDescent="0.3">
      <c r="A21" s="6" t="s">
        <v>2085</v>
      </c>
      <c r="B21" s="6" t="s">
        <v>2086</v>
      </c>
      <c r="J21" s="5" t="s">
        <v>248</v>
      </c>
      <c r="L21" s="5" t="s">
        <v>683</v>
      </c>
      <c r="N21" s="353" t="s">
        <v>614</v>
      </c>
      <c r="O21" s="5" t="s">
        <v>2087</v>
      </c>
      <c r="P21" s="62">
        <f>COUNTIF('(backend scoring)'!$B:$B,'Auto Responses'!$N21)</f>
        <v>12</v>
      </c>
    </row>
    <row r="22" spans="1:20" ht="13" x14ac:dyDescent="0.3">
      <c r="A22" s="6" t="s">
        <v>2088</v>
      </c>
      <c r="B22" s="6" t="s">
        <v>2089</v>
      </c>
      <c r="J22" s="5" t="s">
        <v>2090</v>
      </c>
      <c r="N22" s="353" t="s">
        <v>615</v>
      </c>
      <c r="O22" s="5" t="s">
        <v>2091</v>
      </c>
      <c r="P22" s="62">
        <f>COUNTIF('(backend scoring)'!$B:$B,'Auto Responses'!$N22)</f>
        <v>10</v>
      </c>
    </row>
    <row r="23" spans="1:20" ht="13" x14ac:dyDescent="0.3">
      <c r="A23" s="6" t="s">
        <v>2092</v>
      </c>
      <c r="B23" s="6" t="s">
        <v>2093</v>
      </c>
      <c r="J23" s="5" t="s">
        <v>2094</v>
      </c>
      <c r="N23" s="353" t="s">
        <v>645</v>
      </c>
      <c r="O23" s="5" t="s">
        <v>2095</v>
      </c>
      <c r="P23" s="62">
        <f>COUNTIF('(backend scoring)'!$B:$B,'Auto Responses'!$N23)</f>
        <v>5</v>
      </c>
    </row>
    <row r="24" spans="1:20" ht="13" x14ac:dyDescent="0.3">
      <c r="A24" s="6" t="s">
        <v>2096</v>
      </c>
      <c r="B24" s="6" t="s">
        <v>2097</v>
      </c>
      <c r="N24" s="353" t="s">
        <v>646</v>
      </c>
      <c r="O24" s="5" t="s">
        <v>2098</v>
      </c>
      <c r="P24" s="62">
        <f>COUNTIF('(backend scoring)'!$B:$B,'Auto Responses'!$N24)</f>
        <v>4</v>
      </c>
    </row>
    <row r="25" spans="1:20" ht="13" x14ac:dyDescent="0.3">
      <c r="A25" s="6" t="s">
        <v>2099</v>
      </c>
      <c r="B25" s="6" t="s">
        <v>2100</v>
      </c>
      <c r="N25" s="353" t="s">
        <v>647</v>
      </c>
      <c r="O25" s="5" t="s">
        <v>2101</v>
      </c>
      <c r="P25" s="62">
        <f>COUNTIF('(backend scoring)'!$B:$B,'Auto Responses'!$N25)</f>
        <v>3</v>
      </c>
    </row>
    <row r="26" spans="1:20" ht="13" x14ac:dyDescent="0.3">
      <c r="A26" s="6" t="s">
        <v>2102</v>
      </c>
      <c r="B26" s="6" t="s">
        <v>2103</v>
      </c>
      <c r="N26" s="353" t="s">
        <v>648</v>
      </c>
      <c r="O26" s="5" t="s">
        <v>2104</v>
      </c>
      <c r="P26" s="62">
        <f>COUNTIF('(backend scoring)'!$B:$B,'Auto Responses'!$N26)</f>
        <v>2</v>
      </c>
    </row>
    <row r="27" spans="1:20" ht="15.75" customHeight="1" x14ac:dyDescent="0.3">
      <c r="A27" s="5" t="s">
        <v>2105</v>
      </c>
      <c r="J27" s="5" t="s">
        <v>2106</v>
      </c>
      <c r="N27" s="353" t="s">
        <v>649</v>
      </c>
      <c r="O27" s="5" t="s">
        <v>2107</v>
      </c>
      <c r="P27" s="62">
        <f>COUNTIF('(backend scoring)'!$B:$B,'Auto Responses'!$N27)</f>
        <v>2</v>
      </c>
    </row>
    <row r="28" spans="1:20" ht="15.75" customHeight="1" x14ac:dyDescent="0.3">
      <c r="A28" s="6" t="s">
        <v>2108</v>
      </c>
      <c r="J28" s="5" t="s">
        <v>697</v>
      </c>
      <c r="N28" s="353" t="s">
        <v>650</v>
      </c>
      <c r="O28" s="5" t="s">
        <v>2109</v>
      </c>
      <c r="P28" s="62">
        <f>COUNTIF('(backend scoring)'!$B:$B,'Auto Responses'!$N28)</f>
        <v>8</v>
      </c>
    </row>
    <row r="29" spans="1:20" ht="15.75" customHeight="1" x14ac:dyDescent="0.3">
      <c r="A29" s="6"/>
      <c r="N29" s="353" t="s">
        <v>651</v>
      </c>
      <c r="O29" s="5" t="s">
        <v>2110</v>
      </c>
      <c r="P29" s="62">
        <f>COUNTIF('(backend scoring)'!$B:$B,'Auto Responses'!$N29)</f>
        <v>13</v>
      </c>
    </row>
    <row r="30" spans="1:20" ht="15.75" customHeight="1" x14ac:dyDescent="0.3">
      <c r="A30" s="6"/>
      <c r="N30" s="353" t="s">
        <v>652</v>
      </c>
      <c r="O30" s="5" t="s">
        <v>2111</v>
      </c>
      <c r="P30" s="62">
        <f>COUNTIF('(backend scoring)'!$B:$B,'Auto Responses'!$N30)</f>
        <v>5</v>
      </c>
    </row>
    <row r="31" spans="1:20" ht="15.75" customHeight="1" x14ac:dyDescent="0.3">
      <c r="A31" s="6"/>
      <c r="N31" s="353" t="s">
        <v>653</v>
      </c>
      <c r="O31" s="5" t="s">
        <v>2112</v>
      </c>
      <c r="P31" s="62">
        <f>COUNTIF('(backend scoring)'!$B:$B,'Auto Responses'!$N31)</f>
        <v>15</v>
      </c>
      <c r="T31" s="6"/>
    </row>
    <row r="32" spans="1:20" ht="15.75" customHeight="1" x14ac:dyDescent="0.3">
      <c r="A32" s="6" t="str">
        <f>LEFT($A$3,21)</f>
        <v>Based on the response</v>
      </c>
      <c r="N32" s="353" t="s">
        <v>654</v>
      </c>
      <c r="O32" s="5" t="s">
        <v>2113</v>
      </c>
      <c r="P32" s="62">
        <f>COUNTIF('(backend scoring)'!$B:$B,'Auto Responses'!$N32)</f>
        <v>8</v>
      </c>
    </row>
    <row r="33" spans="1:16" ht="15.75" customHeight="1" x14ac:dyDescent="0.3">
      <c r="A33" s="5" t="s">
        <v>2114</v>
      </c>
      <c r="N33" s="353" t="s">
        <v>2115</v>
      </c>
      <c r="O33" s="5" t="s">
        <v>2116</v>
      </c>
      <c r="P33" s="62">
        <f>COUNTIF('(backend scoring)'!$B:$B,'Auto Responses'!$N33)</f>
        <v>2</v>
      </c>
    </row>
    <row r="34" spans="1:16" ht="15.75" customHeight="1" x14ac:dyDescent="0.3">
      <c r="A34" s="6"/>
      <c r="N34" s="353" t="s">
        <v>2117</v>
      </c>
      <c r="O34" s="5" t="s">
        <v>2118</v>
      </c>
      <c r="P34" s="62">
        <f>COUNTIF('(backend scoring)'!$B:$B,'Auto Responses'!$N34)</f>
        <v>5</v>
      </c>
    </row>
    <row r="35" spans="1:16" ht="15.75" customHeight="1" x14ac:dyDescent="0.3">
      <c r="A35" s="6"/>
      <c r="N35" s="353" t="s">
        <v>2119</v>
      </c>
      <c r="O35" s="5" t="s">
        <v>2120</v>
      </c>
      <c r="P35" s="62">
        <f>COUNTIF('(backend scoring)'!$B:$B,'Auto Responses'!$N35)</f>
        <v>5</v>
      </c>
    </row>
    <row r="36" spans="1:16" ht="15.75" customHeight="1" x14ac:dyDescent="0.3">
      <c r="A36" s="6" t="s">
        <v>2121</v>
      </c>
      <c r="N36" s="353" t="s">
        <v>2122</v>
      </c>
      <c r="O36" s="5" t="s">
        <v>2123</v>
      </c>
      <c r="P36" s="62">
        <f>COUNTIF('(backend scoring)'!$B:$B,'Auto Responses'!$N36)</f>
        <v>5</v>
      </c>
    </row>
    <row r="37" spans="1:16" ht="15.75" customHeight="1" x14ac:dyDescent="0.3">
      <c r="A37" s="6"/>
      <c r="N37" s="353" t="s">
        <v>2124</v>
      </c>
      <c r="O37" s="5" t="s">
        <v>2125</v>
      </c>
      <c r="P37" s="62">
        <f>COUNTIF('(backend scoring)'!$B:$B,'Auto Responses'!$N37)</f>
        <v>8</v>
      </c>
    </row>
    <row r="38" spans="1:16" ht="15.75" customHeight="1" x14ac:dyDescent="0.3">
      <c r="A38" s="6"/>
      <c r="N38" s="353" t="s">
        <v>2126</v>
      </c>
      <c r="O38" s="5" t="s">
        <v>2127</v>
      </c>
      <c r="P38" s="62">
        <f>COUNTIF('(backend scoring)'!$B:$B,'Auto Responses'!$N38)</f>
        <v>6</v>
      </c>
    </row>
    <row r="39" spans="1:16" ht="15.75" customHeight="1" x14ac:dyDescent="0.3">
      <c r="A39" s="238" t="s">
        <v>462</v>
      </c>
    </row>
    <row r="40" spans="1:16" ht="15.75" hidden="1" customHeight="1" x14ac:dyDescent="0.3">
      <c r="A40" s="6"/>
    </row>
    <row r="41" spans="1:16" ht="15.75" hidden="1" customHeight="1" x14ac:dyDescent="0.3">
      <c r="A41" s="6"/>
    </row>
    <row r="42" spans="1:16" ht="15.75" hidden="1" customHeight="1" x14ac:dyDescent="0.3">
      <c r="A42" s="212"/>
    </row>
    <row r="43" spans="1:16" ht="15.75" hidden="1" customHeight="1" x14ac:dyDescent="0.3">
      <c r="A43" s="6"/>
    </row>
    <row r="44" spans="1:16" ht="15.75" hidden="1" customHeight="1" x14ac:dyDescent="0.3">
      <c r="A44" s="6"/>
    </row>
    <row r="45" spans="1:16" ht="15.75" hidden="1" customHeight="1" x14ac:dyDescent="0.3">
      <c r="A45" s="6"/>
    </row>
    <row r="51" spans="4:4" ht="15.75" hidden="1" customHeight="1" x14ac:dyDescent="0.3">
      <c r="D51" s="213"/>
    </row>
    <row r="52" spans="4:4" ht="15.75" hidden="1" customHeight="1" x14ac:dyDescent="0.3">
      <c r="D52" s="213"/>
    </row>
    <row r="53" spans="4:4" ht="15.75" hidden="1" customHeight="1" x14ac:dyDescent="0.3">
      <c r="D53" s="213"/>
    </row>
    <row r="54" spans="4:4" ht="15.75" hidden="1" customHeight="1" x14ac:dyDescent="0.3">
      <c r="D54" s="213"/>
    </row>
    <row r="55" spans="4:4" ht="15.75" hidden="1" customHeight="1" x14ac:dyDescent="0.3">
      <c r="D55" s="213"/>
    </row>
    <row r="56" spans="4:4" ht="15.75" hidden="1" customHeight="1" x14ac:dyDescent="0.3">
      <c r="D56" s="213"/>
    </row>
    <row r="57" spans="4:4" ht="15.75" hidden="1" customHeight="1" x14ac:dyDescent="0.3">
      <c r="D57" s="213"/>
    </row>
    <row r="58" spans="4:4" ht="15.75" hidden="1" customHeight="1" x14ac:dyDescent="0.3">
      <c r="D58" s="213"/>
    </row>
    <row r="59" spans="4:4" ht="15.75" hidden="1" customHeight="1" x14ac:dyDescent="0.3">
      <c r="D59" s="213"/>
    </row>
    <row r="60" spans="4:4" ht="15.75" hidden="1" customHeight="1" x14ac:dyDescent="0.3">
      <c r="D60" s="213"/>
    </row>
    <row r="61" spans="4:4" ht="15.75" hidden="1" customHeight="1" x14ac:dyDescent="0.3">
      <c r="D61" s="213"/>
    </row>
    <row r="62" spans="4:4" ht="15.75" hidden="1" customHeight="1" x14ac:dyDescent="0.3">
      <c r="D62" s="213"/>
    </row>
    <row r="63" spans="4:4" ht="15.75" hidden="1" customHeight="1" x14ac:dyDescent="0.3">
      <c r="D63" s="213"/>
    </row>
    <row r="64" spans="4:4" ht="15.75" hidden="1" customHeight="1" x14ac:dyDescent="0.3">
      <c r="D64" s="213"/>
    </row>
    <row r="65" spans="4:4" ht="15.75" hidden="1" customHeight="1" x14ac:dyDescent="0.3">
      <c r="D65" s="213"/>
    </row>
  </sheetData>
  <conditionalFormatting sqref="D8">
    <cfRule type="expression" dxfId="0" priority="1">
      <formula>ISNUMBER(FIND("*",#REF!))</formula>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EA376-A694-4C57-ABC3-273136BB8C1A}">
  <sheetPr>
    <tabColor theme="2" tint="-9.9978637043366805E-2"/>
  </sheetPr>
  <dimension ref="A1:W963"/>
  <sheetViews>
    <sheetView zoomScale="90" zoomScaleNormal="90" workbookViewId="0">
      <pane xSplit="1" ySplit="2" topLeftCell="E281" activePane="bottomRight" state="frozen"/>
      <selection pane="topRight" activeCell="B1" sqref="B1"/>
      <selection pane="bottomLeft" activeCell="A2" sqref="A2"/>
      <selection pane="bottomRight" activeCell="L288" sqref="L288"/>
    </sheetView>
  </sheetViews>
  <sheetFormatPr defaultColWidth="0" defaultRowHeight="15" zeroHeight="1" x14ac:dyDescent="0.3"/>
  <cols>
    <col min="1" max="1" width="8.59765625" style="2" customWidth="1"/>
    <col min="2" max="2" width="0" style="2" hidden="1" customWidth="1"/>
    <col min="3" max="3" width="35.59765625" style="2" customWidth="1"/>
    <col min="4" max="4" width="15.3984375" style="2" customWidth="1"/>
    <col min="5" max="6" width="12.59765625" style="2" customWidth="1"/>
    <col min="7" max="8" width="8.59765625" style="2" customWidth="1"/>
    <col min="9" max="10" width="10.86328125" style="2" customWidth="1"/>
    <col min="11" max="11" width="11.265625" style="2" customWidth="1"/>
    <col min="12" max="12" width="12" style="105" customWidth="1"/>
    <col min="13" max="14" width="13" style="101" customWidth="1"/>
    <col min="15" max="16" width="8.59765625" style="101" customWidth="1"/>
    <col min="17" max="22" width="8.59765625" style="105" customWidth="1"/>
    <col min="23" max="23" width="8.59765625" style="101" customWidth="1"/>
    <col min="24" max="16384" width="8.59765625" style="101" hidden="1"/>
  </cols>
  <sheetData>
    <row r="1" spans="1:22" hidden="1" x14ac:dyDescent="0.3">
      <c r="A1" s="240" t="s">
        <v>2128</v>
      </c>
    </row>
    <row r="2" spans="1:22" ht="84" x14ac:dyDescent="0.3">
      <c r="A2" s="102" t="s">
        <v>675</v>
      </c>
      <c r="B2" s="102" t="s">
        <v>2129</v>
      </c>
      <c r="C2" s="102" t="s">
        <v>625</v>
      </c>
      <c r="D2" s="102" t="s">
        <v>684</v>
      </c>
      <c r="E2" s="103" t="s">
        <v>685</v>
      </c>
      <c r="F2" s="103" t="s">
        <v>2130</v>
      </c>
      <c r="G2" s="104" t="s">
        <v>627</v>
      </c>
      <c r="H2" s="104" t="s">
        <v>628</v>
      </c>
      <c r="I2" s="104" t="s">
        <v>629</v>
      </c>
      <c r="J2" s="104" t="s">
        <v>630</v>
      </c>
      <c r="K2" s="104" t="s">
        <v>2131</v>
      </c>
      <c r="L2" s="104" t="s">
        <v>2132</v>
      </c>
      <c r="M2" s="104" t="s">
        <v>2133</v>
      </c>
      <c r="N2" s="104" t="s">
        <v>2134</v>
      </c>
      <c r="O2" s="104" t="s">
        <v>2135</v>
      </c>
      <c r="P2" s="104" t="s">
        <v>2136</v>
      </c>
      <c r="Q2" s="358" t="s">
        <v>2137</v>
      </c>
      <c r="R2" s="358" t="s">
        <v>2138</v>
      </c>
      <c r="S2" s="358" t="s">
        <v>2139</v>
      </c>
      <c r="T2" s="358" t="s">
        <v>2140</v>
      </c>
      <c r="U2" s="358" t="s">
        <v>2141</v>
      </c>
      <c r="V2" s="358" t="s">
        <v>2142</v>
      </c>
    </row>
    <row r="3" spans="1:22" ht="56" x14ac:dyDescent="0.3">
      <c r="A3" s="4" t="str">
        <f>Questions!$A3</f>
        <v>GNRL-01</v>
      </c>
      <c r="B3" s="4" t="str">
        <f>LEFT(A3,4)</f>
        <v>GNRL</v>
      </c>
      <c r="C3" s="4" t="str">
        <f>VLOOKUP($A3,Questions!$A$3:$L$333,2,0)&amp;""</f>
        <v>Solution Provider Name</v>
      </c>
      <c r="D3" s="4" t="str">
        <f>VLOOKUP($A3,Questions!$A$3:$L$333,11,0)&amp;""</f>
        <v>NA</v>
      </c>
      <c r="E3" s="4" t="str">
        <f>VLOOKUP($A3,Questions!$A$3:$L$333,12,0)&amp;""</f>
        <v>Not Scored</v>
      </c>
      <c r="F3" s="4" t="str">
        <f>VLOOKUP($A3,'Institution Evaluation'!$A$56:$K$345,3,0)&amp;""</f>
        <v>Preservica Inc</v>
      </c>
      <c r="G3" s="4" t="str">
        <f>VLOOKUP($A3,'Institution Evaluation'!$A$56:$K$345,7,0)&amp;""</f>
        <v>Not scored</v>
      </c>
      <c r="H3" s="4" t="str">
        <f>VLOOKUP($A3,'Institution Evaluation'!$A$56:$K$345,8,0)&amp;""</f>
        <v/>
      </c>
      <c r="I3" s="4" t="str">
        <f>VLOOKUP($A3,'Institution Evaluation'!$A$56:$K$345,9,0)&amp;""</f>
        <v/>
      </c>
      <c r="J3" s="4" t="str">
        <f>VLOOKUP($A3,'Institution Evaluation'!$A$56:$K$345,10,0)&amp;""</f>
        <v/>
      </c>
      <c r="K3" s="4">
        <f>IF($I3='Auto Responses'!$J$11,20,IF($I3='Auto Responses'!$J$13,5,10))</f>
        <v>10</v>
      </c>
      <c r="L3" s="105" t="str">
        <f>IF($E3='Auto Responses'!$L$13, 'Auto Responses'!$J$5,IF(AND($D3='Auto Responses'!$J$27,$H3=""),'Auto Responses'!$J$5,IF(AND($D3='Auto Responses'!$J$27,$H3='Auto Responses'!$J$7),1,IF(AND($D3='Auto Responses'!$J$27,$H3='Auto Responses'!$J$8),0,IF(OR(AND($F3=$G3,$H3=""),$H3='Auto Responses'!$J$7),1,0)))))</f>
        <v>N/A</v>
      </c>
      <c r="M3" s="4" t="str">
        <f>VLOOKUP($A3,'Institution Evaluation'!$A$56:$K$345,11,0)&amp;""</f>
        <v/>
      </c>
      <c r="N3" s="4">
        <f>IF($J3='Auto Responses'!$J$11,1,IF(AND($J3="",$I3='Auto Responses'!$J$11),1,0))</f>
        <v>0</v>
      </c>
      <c r="O3" s="105" t="str">
        <f>IF($E3='Auto Responses'!$L$13,'Auto Responses'!$J$5,IF($J3="",$K3,IF($J3='Auto Responses'!$J$13,5,IF($J3='Auto Responses'!$J$12,10,IF($J3='Auto Responses'!$J$11,20,0)))))</f>
        <v>N/A</v>
      </c>
      <c r="P3" s="105" t="str">
        <f>IF(OR($O3='Auto Responses'!$J$5,$L3='Auto Responses'!$J$5),'Auto Responses'!$J$5,$O3*$L3)</f>
        <v>N/A</v>
      </c>
      <c r="Q3" s="105">
        <f>IF(M3="TRUE",1,0)</f>
        <v>0</v>
      </c>
      <c r="R3" s="105">
        <f>Q3</f>
        <v>0</v>
      </c>
      <c r="S3" s="105">
        <f>IF(Q3=0,0,R3)</f>
        <v>0</v>
      </c>
      <c r="T3" s="105">
        <f>IF(N3=1,1,0)</f>
        <v>0</v>
      </c>
      <c r="U3" s="105">
        <f>T3</f>
        <v>0</v>
      </c>
      <c r="V3" s="105">
        <f>IF(T3=0,0,U3)</f>
        <v>0</v>
      </c>
    </row>
    <row r="4" spans="1:22" ht="98" x14ac:dyDescent="0.3">
      <c r="A4" s="4" t="str">
        <f>Questions!$A4</f>
        <v>GNRL-02</v>
      </c>
      <c r="B4" s="4" t="str">
        <f t="shared" ref="B4:B67" si="0">LEFT(A4,4)</f>
        <v>GNRL</v>
      </c>
      <c r="C4" s="4" t="str">
        <f>VLOOKUP($A4,Questions!$A$3:$L$333,2,0)&amp;""</f>
        <v>Solution Name</v>
      </c>
      <c r="D4" s="4" t="str">
        <f>VLOOKUP($A4,Questions!$A$3:$L$333,11,0)&amp;""</f>
        <v>NA</v>
      </c>
      <c r="E4" s="4" t="str">
        <f>VLOOKUP($A4,Questions!$A$3:$L$333,12,0)&amp;""</f>
        <v>Not Scored</v>
      </c>
      <c r="F4" s="4" t="str">
        <f>VLOOKUP($A4,'Institution Evaluation'!$A$56:$K$345,3,0)&amp;""</f>
        <v>Preservica Pro, Preservica Pro Plus, Preservica Enterprise, Preservica Enterprise Plus - v9.x</v>
      </c>
      <c r="G4" s="4" t="str">
        <f>VLOOKUP($A4,'Institution Evaluation'!$A$56:$K$345,7,0)&amp;""</f>
        <v>Not scored</v>
      </c>
      <c r="H4" s="4" t="str">
        <f>VLOOKUP($A4,'Institution Evaluation'!$A$56:$K$345,8,0)&amp;""</f>
        <v/>
      </c>
      <c r="I4" s="4" t="str">
        <f>VLOOKUP($A4,'Institution Evaluation'!$A$56:$K$345,9,0)&amp;""</f>
        <v/>
      </c>
      <c r="J4" s="4" t="str">
        <f>VLOOKUP($A4,'Institution Evaluation'!$A$56:$K$345,10,0)&amp;""</f>
        <v/>
      </c>
      <c r="K4" s="4">
        <f>IF($I4='Auto Responses'!$J$11,20,IF($I4='Auto Responses'!$J$13,5,10))</f>
        <v>10</v>
      </c>
      <c r="L4" s="105" t="str">
        <f>IF($E4='Auto Responses'!$L$13, 'Auto Responses'!$J$5,IF(AND($D4='Auto Responses'!$J$27,$H4=""),'Auto Responses'!$J$5,IF(AND($D4='Auto Responses'!$J$27,$H4='Auto Responses'!$J$7),1,IF(AND($D4='Auto Responses'!$J$27,$H4='Auto Responses'!$J$8),0,IF(OR(AND($F4=$G4,$H4=""),$H4='Auto Responses'!$J$7),1,0)))))</f>
        <v>N/A</v>
      </c>
      <c r="M4" s="4" t="str">
        <f>VLOOKUP($A4,'Institution Evaluation'!$A$56:$K$345,11,0)&amp;""</f>
        <v/>
      </c>
      <c r="N4" s="4">
        <f>IF($J4='Auto Responses'!$J$11,1,IF(AND($J4="",$I4='Auto Responses'!$J$11),1,0))</f>
        <v>0</v>
      </c>
      <c r="O4" s="105" t="str">
        <f>IF($E4='Auto Responses'!$L$13,'Auto Responses'!$J$5,IF($J4="",$K4,IF($J4='Auto Responses'!$J$13,5,IF($J4='Auto Responses'!$J$12,10,IF($J4='Auto Responses'!$J$11,20,0)))))</f>
        <v>N/A</v>
      </c>
      <c r="P4" s="105" t="str">
        <f>IF(OR($O4='Auto Responses'!$J$5,$L4='Auto Responses'!$J$5),'Auto Responses'!$J$5,$O4*$L4)</f>
        <v>N/A</v>
      </c>
      <c r="Q4" s="105">
        <f t="shared" ref="Q4:Q66" si="1">IF(M4="TRUE",1,0)</f>
        <v>0</v>
      </c>
      <c r="R4" s="105">
        <f>R3+Q4</f>
        <v>0</v>
      </c>
      <c r="S4" s="105">
        <f t="shared" ref="S4:S66" si="2">IF(Q4=0,0,R4)</f>
        <v>0</v>
      </c>
      <c r="T4" s="105">
        <f t="shared" ref="T4:T66" si="3">IF(N4=1,1,0)</f>
        <v>0</v>
      </c>
      <c r="U4" s="105">
        <f>U3+T4</f>
        <v>0</v>
      </c>
      <c r="V4" s="105">
        <f t="shared" ref="V4:V66" si="4">IF(T4=0,0,U4)</f>
        <v>0</v>
      </c>
    </row>
    <row r="5" spans="1:22" ht="210" x14ac:dyDescent="0.3">
      <c r="A5" s="4" t="str">
        <f>Questions!$A5</f>
        <v>GNRL-03</v>
      </c>
      <c r="B5" s="4" t="str">
        <f t="shared" si="0"/>
        <v>GNRL</v>
      </c>
      <c r="C5" s="4" t="str">
        <f>VLOOKUP($A5,Questions!$A$3:$L$333,2,0)&amp;""</f>
        <v>Solution Description</v>
      </c>
      <c r="D5" s="4" t="str">
        <f>VLOOKUP($A5,Questions!$A$3:$L$333,11,0)&amp;""</f>
        <v>NA</v>
      </c>
      <c r="E5" s="4" t="str">
        <f>VLOOKUP($A5,Questions!$A$3:$L$333,12,0)&amp;""</f>
        <v>Not Scored</v>
      </c>
      <c r="F5" s="4" t="str">
        <f>VLOOKUP($A5,'Institution Evaluation'!$A$56:$K$345,3,0)&amp;""</f>
        <v>Preservica combines all the core requirements for successful long-term active digital preservation – including public and secure access - into a single integrated application that can be quickly deployed and hosted in the cloud.</v>
      </c>
      <c r="G5" s="4" t="str">
        <f>VLOOKUP($A5,'Institution Evaluation'!$A$56:$K$345,7,0)&amp;""</f>
        <v>Not scored</v>
      </c>
      <c r="H5" s="4" t="str">
        <f>VLOOKUP($A5,'Institution Evaluation'!$A$56:$K$345,8,0)&amp;""</f>
        <v/>
      </c>
      <c r="I5" s="4" t="str">
        <f>VLOOKUP($A5,'Institution Evaluation'!$A$56:$K$345,9,0)&amp;""</f>
        <v/>
      </c>
      <c r="J5" s="4" t="str">
        <f>VLOOKUP($A5,'Institution Evaluation'!$A$56:$K$345,10,0)&amp;""</f>
        <v/>
      </c>
      <c r="K5" s="4">
        <f>IF($I5='Auto Responses'!$J$11,20,IF($I5='Auto Responses'!$J$13,5,10))</f>
        <v>10</v>
      </c>
      <c r="L5" s="105" t="str">
        <f>IF($E5='Auto Responses'!$L$13, 'Auto Responses'!$J$5,IF(AND($D5='Auto Responses'!$J$27,$H5=""),'Auto Responses'!$J$5,IF(AND($D5='Auto Responses'!$J$27,$H5='Auto Responses'!$J$7),1,IF(AND($D5='Auto Responses'!$J$27,$H5='Auto Responses'!$J$8),0,IF(OR(AND($F5=$G5,$H5=""),$H5='Auto Responses'!$J$7),1,0)))))</f>
        <v>N/A</v>
      </c>
      <c r="M5" s="4" t="str">
        <f>VLOOKUP($A5,'Institution Evaluation'!$A$56:$K$345,11,0)&amp;""</f>
        <v/>
      </c>
      <c r="N5" s="4">
        <f>IF($J5='Auto Responses'!$J$11,1,IF(AND($J5="",$I5='Auto Responses'!$J$11),1,0))</f>
        <v>0</v>
      </c>
      <c r="O5" s="105" t="str">
        <f>IF($E5='Auto Responses'!$L$13,'Auto Responses'!$J$5,IF($J5="",$K5,IF($J5='Auto Responses'!$J$13,5,IF($J5='Auto Responses'!$J$12,10,IF($J5='Auto Responses'!$J$11,20,0)))))</f>
        <v>N/A</v>
      </c>
      <c r="P5" s="105" t="str">
        <f>IF(OR($O5='Auto Responses'!$J$5,$L5='Auto Responses'!$J$5),'Auto Responses'!$J$5,$O5*$L5)</f>
        <v>N/A</v>
      </c>
      <c r="Q5" s="105">
        <f t="shared" si="1"/>
        <v>0</v>
      </c>
      <c r="R5" s="105">
        <f t="shared" ref="R5:R68" si="5">R4+Q5</f>
        <v>0</v>
      </c>
      <c r="S5" s="105">
        <f t="shared" si="2"/>
        <v>0</v>
      </c>
      <c r="T5" s="105">
        <f t="shared" si="3"/>
        <v>0</v>
      </c>
      <c r="U5" s="105">
        <f t="shared" ref="U5:U68" si="6">U4+T5</f>
        <v>0</v>
      </c>
      <c r="V5" s="105">
        <f t="shared" si="4"/>
        <v>0</v>
      </c>
    </row>
    <row r="6" spans="1:22" ht="56" x14ac:dyDescent="0.3">
      <c r="A6" s="4" t="str">
        <f>Questions!$A6</f>
        <v>GNRL-04</v>
      </c>
      <c r="B6" s="4" t="str">
        <f t="shared" si="0"/>
        <v>GNRL</v>
      </c>
      <c r="C6" s="4" t="str">
        <f>VLOOKUP($A6,Questions!$A$3:$L$333,2,0)&amp;""</f>
        <v>Solution Provider Contact Name</v>
      </c>
      <c r="D6" s="4" t="str">
        <f>VLOOKUP($A6,Questions!$A$3:$L$333,11,0)&amp;""</f>
        <v>NA</v>
      </c>
      <c r="E6" s="4" t="str">
        <f>VLOOKUP($A6,Questions!$A$3:$L$333,12,0)&amp;""</f>
        <v>Not Scored</v>
      </c>
      <c r="F6" s="4" t="str">
        <f>VLOOKUP($A6,'Institution Evaluation'!$A$56:$K$345,3,0)&amp;""</f>
        <v>Sales</v>
      </c>
      <c r="G6" s="4" t="str">
        <f>VLOOKUP($A6,'Institution Evaluation'!$A$56:$K$345,7,0)&amp;""</f>
        <v>Not scored</v>
      </c>
      <c r="H6" s="4" t="str">
        <f>VLOOKUP($A6,'Institution Evaluation'!$A$56:$K$345,8,0)&amp;""</f>
        <v/>
      </c>
      <c r="I6" s="4" t="str">
        <f>VLOOKUP($A6,'Institution Evaluation'!$A$56:$K$345,9,0)&amp;""</f>
        <v/>
      </c>
      <c r="J6" s="4" t="str">
        <f>VLOOKUP($A6,'Institution Evaluation'!$A$56:$K$345,10,0)&amp;""</f>
        <v/>
      </c>
      <c r="K6" s="4">
        <f>IF($I6='Auto Responses'!$J$11,20,IF($I6='Auto Responses'!$J$13,5,10))</f>
        <v>10</v>
      </c>
      <c r="L6" s="105" t="str">
        <f>IF($E6='Auto Responses'!$L$13, 'Auto Responses'!$J$5,IF(AND($D6='Auto Responses'!$J$27,$H6=""),'Auto Responses'!$J$5,IF(AND($D6='Auto Responses'!$J$27,$H6='Auto Responses'!$J$7),1,IF(AND($D6='Auto Responses'!$J$27,$H6='Auto Responses'!$J$8),0,IF(OR(AND($F6=$G6,$H6=""),$H6='Auto Responses'!$J$7),1,0)))))</f>
        <v>N/A</v>
      </c>
      <c r="M6" s="4" t="str">
        <f>VLOOKUP($A6,'Institution Evaluation'!$A$56:$K$345,11,0)&amp;""</f>
        <v/>
      </c>
      <c r="N6" s="4">
        <f>IF($J6='Auto Responses'!$J$11,1,IF(AND($J6="",$I6='Auto Responses'!$J$11),1,0))</f>
        <v>0</v>
      </c>
      <c r="O6" s="105" t="str">
        <f>IF($E6='Auto Responses'!$L$13,'Auto Responses'!$J$5,IF($J6="",$K6,IF($J6='Auto Responses'!$J$13,5,IF($J6='Auto Responses'!$J$12,10,IF($J6='Auto Responses'!$J$11,20,0)))))</f>
        <v>N/A</v>
      </c>
      <c r="P6" s="105" t="str">
        <f>IF(OR($O6='Auto Responses'!$J$5,$L6='Auto Responses'!$J$5),'Auto Responses'!$J$5,$O6*$L6)</f>
        <v>N/A</v>
      </c>
      <c r="Q6" s="105">
        <f t="shared" si="1"/>
        <v>0</v>
      </c>
      <c r="R6" s="105">
        <f t="shared" si="5"/>
        <v>0</v>
      </c>
      <c r="S6" s="105">
        <f t="shared" si="2"/>
        <v>0</v>
      </c>
      <c r="T6" s="105">
        <f t="shared" si="3"/>
        <v>0</v>
      </c>
      <c r="U6" s="105">
        <f t="shared" si="6"/>
        <v>0</v>
      </c>
      <c r="V6" s="105">
        <f t="shared" si="4"/>
        <v>0</v>
      </c>
    </row>
    <row r="7" spans="1:22" ht="56" x14ac:dyDescent="0.3">
      <c r="A7" s="4" t="str">
        <f>Questions!$A7</f>
        <v>GNRL-05</v>
      </c>
      <c r="B7" s="4" t="str">
        <f t="shared" si="0"/>
        <v>GNRL</v>
      </c>
      <c r="C7" s="4" t="str">
        <f>VLOOKUP($A7,Questions!$A$3:$L$333,2,0)&amp;""</f>
        <v>Solution Provider Contact Title</v>
      </c>
      <c r="D7" s="4" t="str">
        <f>VLOOKUP($A7,Questions!$A$3:$L$333,11,0)&amp;""</f>
        <v>NA</v>
      </c>
      <c r="E7" s="4" t="str">
        <f>VLOOKUP($A7,Questions!$A$3:$L$333,12,0)&amp;""</f>
        <v>Not Scored</v>
      </c>
      <c r="F7" s="4" t="str">
        <f>VLOOKUP($A7,'Institution Evaluation'!$A$56:$K$345,3,0)&amp;""</f>
        <v>Sales</v>
      </c>
      <c r="G7" s="4" t="str">
        <f>VLOOKUP($A7,'Institution Evaluation'!$A$56:$K$345,7,0)&amp;""</f>
        <v>Not scored</v>
      </c>
      <c r="H7" s="4" t="str">
        <f>VLOOKUP($A7,'Institution Evaluation'!$A$56:$K$345,8,0)&amp;""</f>
        <v/>
      </c>
      <c r="I7" s="4" t="str">
        <f>VLOOKUP($A7,'Institution Evaluation'!$A$56:$K$345,9,0)&amp;""</f>
        <v/>
      </c>
      <c r="J7" s="4" t="str">
        <f>VLOOKUP($A7,'Institution Evaluation'!$A$56:$K$345,10,0)&amp;""</f>
        <v/>
      </c>
      <c r="K7" s="4">
        <f>IF($I7='Auto Responses'!$J$11,20,IF($I7='Auto Responses'!$J$13,5,10))</f>
        <v>10</v>
      </c>
      <c r="L7" s="105" t="str">
        <f>IF($E7='Auto Responses'!$L$13, 'Auto Responses'!$J$5,IF(AND($D7='Auto Responses'!$J$27,$H7=""),'Auto Responses'!$J$5,IF(AND($D7='Auto Responses'!$J$27,$H7='Auto Responses'!$J$7),1,IF(AND($D7='Auto Responses'!$J$27,$H7='Auto Responses'!$J$8),0,IF(OR(AND($F7=$G7,$H7=""),$H7='Auto Responses'!$J$7),1,0)))))</f>
        <v>N/A</v>
      </c>
      <c r="M7" s="4" t="str">
        <f>VLOOKUP($A7,'Institution Evaluation'!$A$56:$K$345,11,0)&amp;""</f>
        <v/>
      </c>
      <c r="N7" s="4">
        <f>IF($J7='Auto Responses'!$J$11,1,IF(AND($J7="",$I7='Auto Responses'!$J$11),1,0))</f>
        <v>0</v>
      </c>
      <c r="O7" s="105" t="str">
        <f>IF($E7='Auto Responses'!$L$13,'Auto Responses'!$J$5,IF($J7="",$K7,IF($J7='Auto Responses'!$J$13,5,IF($J7='Auto Responses'!$J$12,10,IF($J7='Auto Responses'!$J$11,20,0)))))</f>
        <v>N/A</v>
      </c>
      <c r="P7" s="105" t="str">
        <f>IF(OR($O7='Auto Responses'!$J$5,$L7='Auto Responses'!$J$5),'Auto Responses'!$J$5,$O7*$L7)</f>
        <v>N/A</v>
      </c>
      <c r="Q7" s="105">
        <f t="shared" si="1"/>
        <v>0</v>
      </c>
      <c r="R7" s="105">
        <f t="shared" si="5"/>
        <v>0</v>
      </c>
      <c r="S7" s="105">
        <f t="shared" si="2"/>
        <v>0</v>
      </c>
      <c r="T7" s="105">
        <f t="shared" si="3"/>
        <v>0</v>
      </c>
      <c r="U7" s="105">
        <f t="shared" si="6"/>
        <v>0</v>
      </c>
      <c r="V7" s="105">
        <f t="shared" si="4"/>
        <v>0</v>
      </c>
    </row>
    <row r="8" spans="1:22" ht="56" x14ac:dyDescent="0.3">
      <c r="A8" s="4" t="str">
        <f>Questions!$A8</f>
        <v>GNRL-06</v>
      </c>
      <c r="B8" s="4" t="str">
        <f t="shared" si="0"/>
        <v>GNRL</v>
      </c>
      <c r="C8" s="4" t="str">
        <f>VLOOKUP($A8,Questions!$A$3:$L$333,2,0)&amp;""</f>
        <v>Solution Provider Contact Email</v>
      </c>
      <c r="D8" s="4" t="str">
        <f>VLOOKUP($A8,Questions!$A$3:$L$333,11,0)&amp;""</f>
        <v>NA</v>
      </c>
      <c r="E8" s="4" t="str">
        <f>VLOOKUP($A8,Questions!$A$3:$L$333,12,0)&amp;""</f>
        <v>Not Scored</v>
      </c>
      <c r="F8" s="4" t="str">
        <f>VLOOKUP($A8,'Institution Evaluation'!$A$56:$K$345,3,0)&amp;""</f>
        <v>Sales@preservica.com</v>
      </c>
      <c r="G8" s="4" t="str">
        <f>VLOOKUP($A8,'Institution Evaluation'!$A$56:$K$345,7,0)&amp;""</f>
        <v>Not scored</v>
      </c>
      <c r="H8" s="4" t="str">
        <f>VLOOKUP($A8,'Institution Evaluation'!$A$56:$K$345,8,0)&amp;""</f>
        <v/>
      </c>
      <c r="I8" s="4" t="str">
        <f>VLOOKUP($A8,'Institution Evaluation'!$A$56:$K$345,9,0)&amp;""</f>
        <v/>
      </c>
      <c r="J8" s="4" t="str">
        <f>VLOOKUP($A8,'Institution Evaluation'!$A$56:$K$345,10,0)&amp;""</f>
        <v/>
      </c>
      <c r="K8" s="4">
        <f>IF($I8='Auto Responses'!$J$11,20,IF($I8='Auto Responses'!$J$13,5,10))</f>
        <v>10</v>
      </c>
      <c r="L8" s="105" t="str">
        <f>IF($E8='Auto Responses'!$L$13, 'Auto Responses'!$J$5,IF(AND($D8='Auto Responses'!$J$27,$H8=""),'Auto Responses'!$J$5,IF(AND($D8='Auto Responses'!$J$27,$H8='Auto Responses'!$J$7),1,IF(AND($D8='Auto Responses'!$J$27,$H8='Auto Responses'!$J$8),0,IF(OR(AND($F8=$G8,$H8=""),$H8='Auto Responses'!$J$7),1,0)))))</f>
        <v>N/A</v>
      </c>
      <c r="M8" s="4" t="str">
        <f>VLOOKUP($A8,'Institution Evaluation'!$A$56:$K$345,11,0)&amp;""</f>
        <v/>
      </c>
      <c r="N8" s="4">
        <f>IF($J8='Auto Responses'!$J$11,1,IF(AND($J8="",$I8='Auto Responses'!$J$11),1,0))</f>
        <v>0</v>
      </c>
      <c r="O8" s="105" t="str">
        <f>IF($E8='Auto Responses'!$L$13,'Auto Responses'!$J$5,IF($J8="",$K8,IF($J8='Auto Responses'!$J$13,5,IF($J8='Auto Responses'!$J$12,10,IF($J8='Auto Responses'!$J$11,20,0)))))</f>
        <v>N/A</v>
      </c>
      <c r="P8" s="105" t="str">
        <f>IF(OR($O8='Auto Responses'!$J$5,$L8='Auto Responses'!$J$5),'Auto Responses'!$J$5,$O8*$L8)</f>
        <v>N/A</v>
      </c>
      <c r="Q8" s="105">
        <f t="shared" si="1"/>
        <v>0</v>
      </c>
      <c r="R8" s="105">
        <f t="shared" si="5"/>
        <v>0</v>
      </c>
      <c r="S8" s="105">
        <f t="shared" si="2"/>
        <v>0</v>
      </c>
      <c r="T8" s="105">
        <f t="shared" si="3"/>
        <v>0</v>
      </c>
      <c r="U8" s="105">
        <f t="shared" si="6"/>
        <v>0</v>
      </c>
      <c r="V8" s="105">
        <f t="shared" si="4"/>
        <v>0</v>
      </c>
    </row>
    <row r="9" spans="1:22" ht="56" x14ac:dyDescent="0.3">
      <c r="A9" s="4" t="str">
        <f>Questions!$A9</f>
        <v>GNRL-07</v>
      </c>
      <c r="B9" s="4" t="str">
        <f t="shared" si="0"/>
        <v>GNRL</v>
      </c>
      <c r="C9" s="4" t="str">
        <f>VLOOKUP($A9,Questions!$A$3:$L$333,2,0)&amp;""</f>
        <v>Solution Provider Contact Phone Number</v>
      </c>
      <c r="D9" s="4" t="str">
        <f>VLOOKUP($A9,Questions!$A$3:$L$333,11,0)&amp;""</f>
        <v>NA</v>
      </c>
      <c r="E9" s="4" t="str">
        <f>VLOOKUP($A9,Questions!$A$3:$L$333,12,0)&amp;""</f>
        <v>Not Scored</v>
      </c>
      <c r="F9" s="4" t="str">
        <f>VLOOKUP($A9,'Institution Evaluation'!$A$56:$K$345,3,0)&amp;""</f>
        <v>781-983-4229</v>
      </c>
      <c r="G9" s="4" t="str">
        <f>VLOOKUP($A9,'Institution Evaluation'!$A$56:$K$345,7,0)&amp;""</f>
        <v>Not scored</v>
      </c>
      <c r="H9" s="4" t="str">
        <f>VLOOKUP($A9,'Institution Evaluation'!$A$56:$K$345,8,0)&amp;""</f>
        <v/>
      </c>
      <c r="I9" s="4" t="str">
        <f>VLOOKUP($A9,'Institution Evaluation'!$A$56:$K$345,9,0)&amp;""</f>
        <v/>
      </c>
      <c r="J9" s="4" t="str">
        <f>VLOOKUP($A9,'Institution Evaluation'!$A$56:$K$345,10,0)&amp;""</f>
        <v/>
      </c>
      <c r="K9" s="4">
        <f>IF($I9='Auto Responses'!$J$11,20,IF($I9='Auto Responses'!$J$13,5,10))</f>
        <v>10</v>
      </c>
      <c r="L9" s="105" t="str">
        <f>IF($E9='Auto Responses'!$L$13, 'Auto Responses'!$J$5,IF(AND($D9='Auto Responses'!$J$27,$H9=""),'Auto Responses'!$J$5,IF(AND($D9='Auto Responses'!$J$27,$H9='Auto Responses'!$J$7),1,IF(AND($D9='Auto Responses'!$J$27,$H9='Auto Responses'!$J$8),0,IF(OR(AND($F9=$G9,$H9=""),$H9='Auto Responses'!$J$7),1,0)))))</f>
        <v>N/A</v>
      </c>
      <c r="M9" s="4" t="str">
        <f>VLOOKUP($A9,'Institution Evaluation'!$A$56:$K$345,11,0)&amp;""</f>
        <v/>
      </c>
      <c r="N9" s="4">
        <f>IF($J9='Auto Responses'!$J$11,1,IF(AND($J9="",$I9='Auto Responses'!$J$11),1,0))</f>
        <v>0</v>
      </c>
      <c r="O9" s="105" t="str">
        <f>IF($E9='Auto Responses'!$L$13,'Auto Responses'!$J$5,IF($J9="",$K9,IF($J9='Auto Responses'!$J$13,5,IF($J9='Auto Responses'!$J$12,10,IF($J9='Auto Responses'!$J$11,20,0)))))</f>
        <v>N/A</v>
      </c>
      <c r="P9" s="105" t="str">
        <f>IF(OR($O9='Auto Responses'!$J$5,$L9='Auto Responses'!$J$5),'Auto Responses'!$J$5,$O9*$L9)</f>
        <v>N/A</v>
      </c>
      <c r="Q9" s="105">
        <f t="shared" si="1"/>
        <v>0</v>
      </c>
      <c r="R9" s="105">
        <f t="shared" si="5"/>
        <v>0</v>
      </c>
      <c r="S9" s="105">
        <f t="shared" si="2"/>
        <v>0</v>
      </c>
      <c r="T9" s="105">
        <f t="shared" si="3"/>
        <v>0</v>
      </c>
      <c r="U9" s="105">
        <f t="shared" si="6"/>
        <v>0</v>
      </c>
      <c r="V9" s="105">
        <f t="shared" si="4"/>
        <v>0</v>
      </c>
    </row>
    <row r="10" spans="1:22" ht="56" x14ac:dyDescent="0.3">
      <c r="A10" s="4" t="str">
        <f>Questions!$A10</f>
        <v>GNRL-08</v>
      </c>
      <c r="B10" s="4" t="str">
        <f t="shared" si="0"/>
        <v>GNRL</v>
      </c>
      <c r="C10" s="4" t="str">
        <f>VLOOKUP($A10,Questions!$A$3:$L$333,2,0)&amp;""</f>
        <v>Country of Company Headquarters</v>
      </c>
      <c r="D10" s="4" t="str">
        <f>VLOOKUP($A10,Questions!$A$3:$L$333,11,0)&amp;""</f>
        <v>NA</v>
      </c>
      <c r="E10" s="4" t="str">
        <f>VLOOKUP($A10,Questions!$A$3:$L$333,12,0)&amp;""</f>
        <v>Not Scored</v>
      </c>
      <c r="F10" s="4" t="str">
        <f>VLOOKUP($A10,'Institution Evaluation'!$A$56:$K$345,3,0)&amp;""</f>
        <v>UK</v>
      </c>
      <c r="G10" s="4" t="str">
        <f>VLOOKUP($A10,'Institution Evaluation'!$A$56:$K$345,7,0)&amp;""</f>
        <v>Not scored</v>
      </c>
      <c r="H10" s="4" t="str">
        <f>VLOOKUP($A10,'Institution Evaluation'!$A$56:$K$345,8,0)&amp;""</f>
        <v/>
      </c>
      <c r="I10" s="4" t="str">
        <f>VLOOKUP($A10,'Institution Evaluation'!$A$56:$K$345,9,0)&amp;""</f>
        <v/>
      </c>
      <c r="J10" s="4" t="str">
        <f>VLOOKUP($A10,'Institution Evaluation'!$A$56:$K$345,10,0)&amp;""</f>
        <v/>
      </c>
      <c r="K10" s="4">
        <f>IF($I10='Auto Responses'!$J$11,20,IF($I10='Auto Responses'!$J$13,5,10))</f>
        <v>10</v>
      </c>
      <c r="L10" s="105" t="str">
        <f>IF($E10='Auto Responses'!$L$13, 'Auto Responses'!$J$5,IF(AND($D10='Auto Responses'!$J$27,$H10=""),'Auto Responses'!$J$5,IF(AND($D10='Auto Responses'!$J$27,$H10='Auto Responses'!$J$7),1,IF(AND($D10='Auto Responses'!$J$27,$H10='Auto Responses'!$J$8),0,IF(OR(AND($F10=$G10,$H10=""),$H10='Auto Responses'!$J$7),1,0)))))</f>
        <v>N/A</v>
      </c>
      <c r="M10" s="4" t="str">
        <f>VLOOKUP($A10,'Institution Evaluation'!$A$56:$K$345,11,0)&amp;""</f>
        <v/>
      </c>
      <c r="N10" s="4">
        <f>IF($J10='Auto Responses'!$J$11,1,IF(AND($J10="",$I10='Auto Responses'!$J$11),1,0))</f>
        <v>0</v>
      </c>
      <c r="O10" s="105" t="str">
        <f>IF($E10='Auto Responses'!$L$13,'Auto Responses'!$J$5,IF($J10="",$K10,IF($J10='Auto Responses'!$J$13,5,IF($J10='Auto Responses'!$J$12,10,IF($J10='Auto Responses'!$J$11,20,0)))))</f>
        <v>N/A</v>
      </c>
      <c r="P10" s="105" t="str">
        <f>IF(OR($O10='Auto Responses'!$J$5,$L10='Auto Responses'!$J$5),'Auto Responses'!$J$5,$O10*$L10)</f>
        <v>N/A</v>
      </c>
      <c r="Q10" s="105">
        <f t="shared" si="1"/>
        <v>0</v>
      </c>
      <c r="R10" s="105">
        <f t="shared" si="5"/>
        <v>0</v>
      </c>
      <c r="S10" s="105">
        <f t="shared" si="2"/>
        <v>0</v>
      </c>
      <c r="T10" s="105">
        <f t="shared" si="3"/>
        <v>0</v>
      </c>
      <c r="U10" s="105">
        <f t="shared" si="6"/>
        <v>0</v>
      </c>
      <c r="V10" s="105">
        <f t="shared" si="4"/>
        <v>0</v>
      </c>
    </row>
    <row r="11" spans="1:22" ht="56" x14ac:dyDescent="0.3">
      <c r="A11" s="4" t="str">
        <f>Questions!$A11</f>
        <v>GNRL-09</v>
      </c>
      <c r="B11" s="4" t="str">
        <f t="shared" si="0"/>
        <v>GNRL</v>
      </c>
      <c r="C11" s="4" t="str">
        <f>VLOOKUP($A11,Questions!$A$3:$L$333,2,0)&amp;""</f>
        <v>Employee Work Locations (all)</v>
      </c>
      <c r="D11" s="4" t="s">
        <v>697</v>
      </c>
      <c r="E11" s="4" t="str">
        <f>VLOOKUP($A11,Questions!$A$3:$L$333,12,0)&amp;""</f>
        <v>Not Scored</v>
      </c>
      <c r="F11" s="4" t="str">
        <f>VLOOKUP($A11,'Institution Evaluation'!$A$56:$K$345,3,0)&amp;""</f>
        <v>USA, UK</v>
      </c>
      <c r="G11" s="4" t="str">
        <f>VLOOKUP($A11,'Institution Evaluation'!$A$56:$K$345,7,0)&amp;""</f>
        <v>Not scored</v>
      </c>
      <c r="H11" s="4" t="str">
        <f>VLOOKUP($A11,'Institution Evaluation'!$A$56:$K$345,8,0)&amp;""</f>
        <v/>
      </c>
      <c r="I11" s="4" t="str">
        <f>VLOOKUP($A11,'Institution Evaluation'!$A$56:$K$345,9,0)&amp;""</f>
        <v/>
      </c>
      <c r="J11" s="4" t="str">
        <f>VLOOKUP($A11,'Institution Evaluation'!$A$56:$K$345,10,0)&amp;""</f>
        <v/>
      </c>
      <c r="K11" s="4">
        <f>IF($I11='Auto Responses'!$J$11,20,IF($I11='Auto Responses'!$J$13,5,10))</f>
        <v>10</v>
      </c>
      <c r="L11" s="105" t="str">
        <f>IF($E11='Auto Responses'!$L$13, 'Auto Responses'!$J$5,IF(AND($D11='Auto Responses'!$J$27,$H11=""),'Auto Responses'!$J$5,IF(AND($D11='Auto Responses'!$J$27,$H11='Auto Responses'!$J$7),1,IF(AND($D11='Auto Responses'!$J$27,$H11='Auto Responses'!$J$8),0,IF(OR(AND($F11=$G11,$H11=""),$H11='Auto Responses'!$J$7),1,0)))))</f>
        <v>N/A</v>
      </c>
      <c r="M11" s="4" t="str">
        <f>VLOOKUP($A11,'Institution Evaluation'!$A$56:$K$345,11,0)&amp;""</f>
        <v/>
      </c>
      <c r="N11" s="4">
        <f>IF($J11='Auto Responses'!$J$11,1,IF(AND($J11="",$I11='Auto Responses'!$J$11),1,0))</f>
        <v>0</v>
      </c>
      <c r="O11" s="105" t="str">
        <f>IF($E11='Auto Responses'!$L$13,'Auto Responses'!$J$5,IF($J11="",$K11,IF($J11='Auto Responses'!$J$13,5,IF($J11='Auto Responses'!$J$12,10,IF($J11='Auto Responses'!$J$11,20,0)))))</f>
        <v>N/A</v>
      </c>
      <c r="P11" s="105" t="str">
        <f>IF(OR($O11='Auto Responses'!$J$5,$L11='Auto Responses'!$J$5),'Auto Responses'!$J$5,$O11*$L11)</f>
        <v>N/A</v>
      </c>
      <c r="Q11" s="105">
        <f t="shared" si="1"/>
        <v>0</v>
      </c>
      <c r="R11" s="105">
        <f t="shared" si="5"/>
        <v>0</v>
      </c>
      <c r="S11" s="105">
        <f t="shared" si="2"/>
        <v>0</v>
      </c>
      <c r="T11" s="105">
        <f t="shared" si="3"/>
        <v>0</v>
      </c>
      <c r="U11" s="105">
        <f t="shared" si="6"/>
        <v>0</v>
      </c>
      <c r="V11" s="105">
        <f t="shared" si="4"/>
        <v>0</v>
      </c>
    </row>
    <row r="12" spans="1:22" ht="56" x14ac:dyDescent="0.3">
      <c r="A12" s="4" t="str">
        <f>Questions!$A12</f>
        <v>COMP-01</v>
      </c>
      <c r="B12" s="4" t="str">
        <f t="shared" si="0"/>
        <v>COMP</v>
      </c>
      <c r="C12" s="4" t="str">
        <f>VLOOKUP($A12,Questions!$A$3:$L$333,2,0)&amp;""</f>
        <v>Do you have a dedicated software and system development team(s) (e.g., customer support, implementation, product management, etc.)?*</v>
      </c>
      <c r="D12" s="4" t="str">
        <f>VLOOKUP($A12,Questions!$A$3:$L$333,11,0)&amp;""</f>
        <v/>
      </c>
      <c r="E12" s="4" t="str">
        <f>VLOOKUP($A12,Questions!$A$3:$L$333,12,0)&amp;""</f>
        <v>Start Here</v>
      </c>
      <c r="F12" s="4" t="str">
        <f>VLOOKUP($A12,'Institution Evaluation'!$A$56:$K$345,3,0)&amp;""</f>
        <v>Yes</v>
      </c>
      <c r="G12" s="4" t="str">
        <f>VLOOKUP($A12,'Institution Evaluation'!$A$56:$K$345,7,0)&amp;""</f>
        <v>Yes</v>
      </c>
      <c r="H12" s="4" t="str">
        <f>VLOOKUP($A12,'Institution Evaluation'!$A$56:$K$345,8,0)&amp;""</f>
        <v/>
      </c>
      <c r="I12" s="4" t="str">
        <f>VLOOKUP($A12,'Institution Evaluation'!$A$56:$K$345,9,0)&amp;""</f>
        <v>Standard Importance</v>
      </c>
      <c r="J12" s="4" t="str">
        <f>VLOOKUP($A12,'Institution Evaluation'!$A$56:$K$345,10,0)&amp;""</f>
        <v/>
      </c>
      <c r="K12" s="4">
        <f>IF($I12='Auto Responses'!$J$11,20,IF($I12='Auto Responses'!$J$13,5,10))</f>
        <v>10</v>
      </c>
      <c r="L12" s="105">
        <f>IF($E12='Auto Responses'!$L$13, 'Auto Responses'!$J$5,IF(AND($D12='Auto Responses'!$J$27,$H12=""),'Auto Responses'!$J$5,IF(AND($D12='Auto Responses'!$J$27,$H12='Auto Responses'!$J$7),1,IF(AND($D12='Auto Responses'!$J$27,$H12='Auto Responses'!$J$8),0,IF(OR(AND($F12=$G12,$H12=""),$H12='Auto Responses'!$J$7),1,0)))))</f>
        <v>1</v>
      </c>
      <c r="M12" s="4" t="str">
        <f>VLOOKUP($A12,'Institution Evaluation'!$A$56:$K$345,11,0)&amp;""</f>
        <v>FALSE</v>
      </c>
      <c r="N12" s="4">
        <f>IF($J12='Auto Responses'!$J$11,1,IF(AND($J12="",$I12='Auto Responses'!$J$11),1,0))</f>
        <v>0</v>
      </c>
      <c r="O12" s="105">
        <f>IF(OR($E12='Auto Responses'!$L$13,$F12='Auto Responses'!$J$5),'Auto Responses'!$J$5,IF($J12="",$K12,IF($J12='Auto Responses'!$J$13,5,IF($J12='Auto Responses'!$J$12,10,IF($J12='Auto Responses'!$J$11,20,0)))))</f>
        <v>10</v>
      </c>
      <c r="P12" s="105">
        <f>IF(OR($O12='Auto Responses'!$J$5,$L12='Auto Responses'!$J$5),'Auto Responses'!$J$5,$O12*$L12)</f>
        <v>10</v>
      </c>
      <c r="Q12" s="105">
        <f t="shared" si="1"/>
        <v>0</v>
      </c>
      <c r="R12" s="105">
        <f t="shared" si="5"/>
        <v>0</v>
      </c>
      <c r="S12" s="105">
        <f t="shared" si="2"/>
        <v>0</v>
      </c>
      <c r="T12" s="105">
        <f t="shared" si="3"/>
        <v>0</v>
      </c>
      <c r="U12" s="105">
        <f t="shared" si="6"/>
        <v>0</v>
      </c>
      <c r="V12" s="105">
        <f t="shared" si="4"/>
        <v>0</v>
      </c>
    </row>
    <row r="13" spans="1:22" ht="56" x14ac:dyDescent="0.3">
      <c r="A13" s="4" t="str">
        <f>Questions!$A13</f>
        <v>COMP-02</v>
      </c>
      <c r="B13" s="4" t="str">
        <f t="shared" si="0"/>
        <v>COMP</v>
      </c>
      <c r="C13" s="4" t="str">
        <f>VLOOKUP($A13,Questions!$A$3:$L$333,2,0)&amp;""</f>
        <v>Describe your organization’s business background and ownership structure, including all parent and subsidiary relationships.</v>
      </c>
      <c r="D13" s="4" t="str">
        <f>VLOOKUP($A13,Questions!$A$3:$L$333,11,0)&amp;""</f>
        <v/>
      </c>
      <c r="E13" s="4" t="str">
        <f>VLOOKUP($A13,Questions!$A$3:$L$333,12,0)&amp;""</f>
        <v>Not scored</v>
      </c>
      <c r="F13" s="4" t="str">
        <f>VLOOKUP($A13,'Institution Evaluation'!$A$56:$K$345,3,0)&amp;""</f>
        <v/>
      </c>
      <c r="G13" s="4" t="str">
        <f>VLOOKUP($A13,'Institution Evaluation'!$A$56:$K$345,7,0)&amp;""</f>
        <v>Not scored</v>
      </c>
      <c r="H13" s="4" t="str">
        <f>VLOOKUP($A13,'Institution Evaluation'!$A$56:$K$345,8,0)&amp;""</f>
        <v/>
      </c>
      <c r="I13" s="4" t="str">
        <f>VLOOKUP($A13,'Institution Evaluation'!$A$56:$K$345,9,0)&amp;""</f>
        <v/>
      </c>
      <c r="J13" s="4" t="str">
        <f>VLOOKUP($A13,'Institution Evaluation'!$A$56:$K$345,10,0)&amp;""</f>
        <v/>
      </c>
      <c r="K13" s="4">
        <f>IF($I13='Auto Responses'!$J$11,20,IF($I13='Auto Responses'!$J$13,5,10))</f>
        <v>10</v>
      </c>
      <c r="L13" s="105" t="str">
        <f>IF($E13='Auto Responses'!$L$13, 'Auto Responses'!$J$5,IF(AND($D13='Auto Responses'!$J$27,$H13=""),'Auto Responses'!$J$5,IF(AND($D13='Auto Responses'!$J$27,$H13='Auto Responses'!$J$7),1,IF(AND($D13='Auto Responses'!$J$27,$H13='Auto Responses'!$J$8),0,IF(OR(AND($F13=$G13,$H13=""),$H13='Auto Responses'!$J$7),1,0)))))</f>
        <v>N/A</v>
      </c>
      <c r="M13" s="4" t="str">
        <f>VLOOKUP($A13,'Institution Evaluation'!$A$56:$K$345,11,0)&amp;""</f>
        <v>FALSE</v>
      </c>
      <c r="N13" s="4">
        <f>IF($J13='Auto Responses'!$J$11,1,IF(AND($J13="",$I13='Auto Responses'!$J$11),1,0))</f>
        <v>0</v>
      </c>
      <c r="O13" s="105" t="str">
        <f>IF(OR($E13='Auto Responses'!$L$13,$F13='Auto Responses'!$J$5),'Auto Responses'!$J$5,IF($J13="",$K13,IF($J13='Auto Responses'!$J$13,5,IF($J13='Auto Responses'!$J$12,10,IF($J13='Auto Responses'!$J$11,20,0)))))</f>
        <v>N/A</v>
      </c>
      <c r="P13" s="105" t="str">
        <f>IF(OR($O13='Auto Responses'!$J$5,$L13='Auto Responses'!$J$5),'Auto Responses'!$J$5,$O13*$L13)</f>
        <v>N/A</v>
      </c>
      <c r="Q13" s="105">
        <f t="shared" si="1"/>
        <v>0</v>
      </c>
      <c r="R13" s="105">
        <f t="shared" si="5"/>
        <v>0</v>
      </c>
      <c r="S13" s="105">
        <f t="shared" si="2"/>
        <v>0</v>
      </c>
      <c r="T13" s="105">
        <f t="shared" si="3"/>
        <v>0</v>
      </c>
      <c r="U13" s="105">
        <f t="shared" si="6"/>
        <v>0</v>
      </c>
      <c r="V13" s="105">
        <f t="shared" si="4"/>
        <v>0</v>
      </c>
    </row>
    <row r="14" spans="1:22" ht="56" x14ac:dyDescent="0.3">
      <c r="A14" s="4" t="str">
        <f>Questions!$A14</f>
        <v>COMP-03</v>
      </c>
      <c r="B14" s="4" t="str">
        <f t="shared" si="0"/>
        <v>COMP</v>
      </c>
      <c r="C14" s="4" t="str">
        <f>VLOOKUP($A14,Questions!$A$3:$L$333,2,0)&amp;""</f>
        <v>Have you operated without unplanned disruptions to this solution in the past 12 months?</v>
      </c>
      <c r="D14" s="4" t="str">
        <f>VLOOKUP($A14,Questions!$A$3:$L$333,11,0)&amp;""</f>
        <v/>
      </c>
      <c r="E14" s="4" t="str">
        <f>VLOOKUP($A14,Questions!$A$3:$L$333,12,0)&amp;""</f>
        <v>Start Here</v>
      </c>
      <c r="F14" s="4" t="str">
        <f>VLOOKUP($A14,'Institution Evaluation'!$A$56:$K$345,3,0)&amp;""</f>
        <v>Yes</v>
      </c>
      <c r="G14" s="4" t="str">
        <f>VLOOKUP($A14,'Institution Evaluation'!$A$56:$K$345,7,0)&amp;""</f>
        <v>Yes</v>
      </c>
      <c r="H14" s="4" t="str">
        <f>VLOOKUP($A14,'Institution Evaluation'!$A$56:$K$345,8,0)&amp;""</f>
        <v/>
      </c>
      <c r="I14" s="4" t="str">
        <f>VLOOKUP($A14,'Institution Evaluation'!$A$56:$K$345,9,0)&amp;""</f>
        <v>Minor Importance</v>
      </c>
      <c r="J14" s="4" t="str">
        <f>VLOOKUP($A14,'Institution Evaluation'!$A$56:$K$345,10,0)&amp;""</f>
        <v/>
      </c>
      <c r="K14" s="4">
        <f>IF($I14='Auto Responses'!$J$11,20,IF($I14='Auto Responses'!$J$13,5,10))</f>
        <v>5</v>
      </c>
      <c r="L14" s="105">
        <f>IF($E14='Auto Responses'!$L$13, 'Auto Responses'!$J$5,IF(AND($D14='Auto Responses'!$J$27,$H14=""),'Auto Responses'!$J$5,IF(AND($D14='Auto Responses'!$J$27,$H14='Auto Responses'!$J$7),1,IF(AND($D14='Auto Responses'!$J$27,$H14='Auto Responses'!$J$8),0,IF(OR(AND($F14=$G14,$H14=""),$H14='Auto Responses'!$J$7),1,0)))))</f>
        <v>1</v>
      </c>
      <c r="M14" s="4" t="str">
        <f>VLOOKUP($A14,'Institution Evaluation'!$A$56:$K$345,11,0)&amp;""</f>
        <v>FALSE</v>
      </c>
      <c r="N14" s="4">
        <f>IF($J14='Auto Responses'!$J$11,1,IF(AND($J14="",$I14='Auto Responses'!$J$11),1,0))</f>
        <v>0</v>
      </c>
      <c r="O14" s="105">
        <f>IF(OR($E14='Auto Responses'!$L$13,$F14='Auto Responses'!$J$5),'Auto Responses'!$J$5,IF($J14="",$K14,IF($J14='Auto Responses'!$J$13,5,IF($J14='Auto Responses'!$J$12,10,IF($J14='Auto Responses'!$J$11,20,0)))))</f>
        <v>5</v>
      </c>
      <c r="P14" s="105">
        <f>IF(OR($O14='Auto Responses'!$J$5,$L14='Auto Responses'!$J$5),'Auto Responses'!$J$5,$O14*$L14)</f>
        <v>5</v>
      </c>
      <c r="Q14" s="105">
        <f t="shared" si="1"/>
        <v>0</v>
      </c>
      <c r="R14" s="105">
        <f t="shared" si="5"/>
        <v>0</v>
      </c>
      <c r="S14" s="105">
        <f t="shared" si="2"/>
        <v>0</v>
      </c>
      <c r="T14" s="105">
        <f t="shared" si="3"/>
        <v>0</v>
      </c>
      <c r="U14" s="105">
        <f t="shared" si="6"/>
        <v>0</v>
      </c>
      <c r="V14" s="105">
        <f t="shared" si="4"/>
        <v>0</v>
      </c>
    </row>
    <row r="15" spans="1:22" ht="56" x14ac:dyDescent="0.3">
      <c r="A15" s="4" t="str">
        <f>Questions!$A15</f>
        <v>COMP-04</v>
      </c>
      <c r="B15" s="4" t="str">
        <f t="shared" si="0"/>
        <v>COMP</v>
      </c>
      <c r="C15" s="4" t="str">
        <f>VLOOKUP($A15,Questions!$A$3:$L$333,2,0)&amp;""</f>
        <v>Do you have a dedicated information security staff or office?</v>
      </c>
      <c r="D15" s="4" t="str">
        <f>VLOOKUP($A15,Questions!$A$3:$L$333,11,0)&amp;""</f>
        <v/>
      </c>
      <c r="E15" s="4" t="str">
        <f>VLOOKUP($A15,Questions!$A$3:$L$333,12,0)&amp;""</f>
        <v>Start Here</v>
      </c>
      <c r="F15" s="4" t="str">
        <f>VLOOKUP($A15,'Institution Evaluation'!$A$56:$K$345,3,0)&amp;""</f>
        <v>Yes</v>
      </c>
      <c r="G15" s="4" t="str">
        <f>VLOOKUP($A15,'Institution Evaluation'!$A$56:$K$345,7,0)&amp;""</f>
        <v>Yes</v>
      </c>
      <c r="H15" s="4" t="str">
        <f>VLOOKUP($A15,'Institution Evaluation'!$A$56:$K$345,8,0)&amp;""</f>
        <v/>
      </c>
      <c r="I15" s="4" t="str">
        <f>VLOOKUP($A15,'Institution Evaluation'!$A$56:$K$345,9,0)&amp;""</f>
        <v>Minor Importance</v>
      </c>
      <c r="J15" s="4" t="str">
        <f>VLOOKUP($A15,'Institution Evaluation'!$A$56:$K$345,10,0)&amp;""</f>
        <v/>
      </c>
      <c r="K15" s="4">
        <f>IF($I15='Auto Responses'!$J$11,20,IF($I15='Auto Responses'!$J$13,5,10))</f>
        <v>5</v>
      </c>
      <c r="L15" s="105">
        <f>IF($E15='Auto Responses'!$L$13, 'Auto Responses'!$J$5,IF(AND($D15='Auto Responses'!$J$27,$H15=""),'Auto Responses'!$J$5,IF(AND($D15='Auto Responses'!$J$27,$H15='Auto Responses'!$J$7),1,IF(AND($D15='Auto Responses'!$J$27,$H15='Auto Responses'!$J$8),0,IF(OR(AND($F15=$G15,$H15=""),$H15='Auto Responses'!$J$7),1,0)))))</f>
        <v>1</v>
      </c>
      <c r="M15" s="4" t="str">
        <f>VLOOKUP($A15,'Institution Evaluation'!$A$56:$K$345,11,0)&amp;""</f>
        <v>FALSE</v>
      </c>
      <c r="N15" s="4">
        <f>IF($J15='Auto Responses'!$J$11,1,IF(AND($J15="",$I15='Auto Responses'!$J$11),1,0))</f>
        <v>0</v>
      </c>
      <c r="O15" s="105">
        <f>IF(OR($E15='Auto Responses'!$L$13,$F15='Auto Responses'!$J$5),'Auto Responses'!$J$5,IF($J15="",$K15,IF($J15='Auto Responses'!$J$13,5,IF($J15='Auto Responses'!$J$12,10,IF($J15='Auto Responses'!$J$11,20,0)))))</f>
        <v>5</v>
      </c>
      <c r="P15" s="105">
        <f>IF(OR($O15='Auto Responses'!$J$5,$L15='Auto Responses'!$J$5),'Auto Responses'!$J$5,$O15*$L15)</f>
        <v>5</v>
      </c>
      <c r="Q15" s="105">
        <f t="shared" si="1"/>
        <v>0</v>
      </c>
      <c r="R15" s="105">
        <f t="shared" si="5"/>
        <v>0</v>
      </c>
      <c r="S15" s="105">
        <f t="shared" si="2"/>
        <v>0</v>
      </c>
      <c r="T15" s="105">
        <f t="shared" si="3"/>
        <v>0</v>
      </c>
      <c r="U15" s="105">
        <f t="shared" si="6"/>
        <v>0</v>
      </c>
      <c r="V15" s="105">
        <f t="shared" si="4"/>
        <v>0</v>
      </c>
    </row>
    <row r="16" spans="1:22" ht="56" x14ac:dyDescent="0.3">
      <c r="A16" s="4" t="str">
        <f>Questions!$A16</f>
        <v>COMP-05</v>
      </c>
      <c r="B16" s="4" t="str">
        <f t="shared" si="0"/>
        <v>COMP</v>
      </c>
      <c r="C16" s="4" t="str">
        <f>VLOOKUP($A16,Questions!$A$3:$L$333,2,0)&amp;""</f>
        <v>Use this area to share information about your environment that will assist those who are assessing your company's data security program.</v>
      </c>
      <c r="D16" s="4" t="str">
        <f>VLOOKUP($A16,Questions!$A$3:$L$333,11,0)&amp;""</f>
        <v/>
      </c>
      <c r="E16" s="4" t="str">
        <f>VLOOKUP($A16,Questions!$A$3:$L$333,12,0)&amp;""</f>
        <v>Not Scored</v>
      </c>
      <c r="F16" s="4" t="str">
        <f>VLOOKUP($A16,'Institution Evaluation'!$A$56:$K$345,3,0)&amp;""</f>
        <v/>
      </c>
      <c r="G16" s="4" t="str">
        <f>VLOOKUP($A16,'Institution Evaluation'!$A$56:$K$345,7,0)&amp;""</f>
        <v>Not scored</v>
      </c>
      <c r="H16" s="4" t="str">
        <f>VLOOKUP($A16,'Institution Evaluation'!$A$56:$K$345,8,0)&amp;""</f>
        <v/>
      </c>
      <c r="I16" s="4" t="str">
        <f>VLOOKUP($A16,'Institution Evaluation'!$A$56:$K$345,9,0)&amp;""</f>
        <v>FALSE</v>
      </c>
      <c r="J16" s="4" t="str">
        <f>VLOOKUP($A16,'Institution Evaluation'!$A$56:$K$345,10,0)&amp;""</f>
        <v/>
      </c>
      <c r="K16" s="4">
        <f>IF($I16='Auto Responses'!$J$11,20,IF($I16='Auto Responses'!$J$13,5,10))</f>
        <v>10</v>
      </c>
      <c r="L16" s="105" t="str">
        <f>IF($E16='Auto Responses'!$L$13, 'Auto Responses'!$J$5,IF(AND($D16='Auto Responses'!$J$27,$H16=""),'Auto Responses'!$J$5,IF(AND($D16='Auto Responses'!$J$27,$H16='Auto Responses'!$J$7),1,IF(AND($D16='Auto Responses'!$J$27,$H16='Auto Responses'!$J$8),0,IF(OR(AND($F16=$G16,$H16=""),$H16='Auto Responses'!$J$7),1,0)))))</f>
        <v>N/A</v>
      </c>
      <c r="M16" s="4" t="str">
        <f>VLOOKUP($A16,'Institution Evaluation'!$A$56:$K$345,11,0)&amp;""</f>
        <v>FALSE</v>
      </c>
      <c r="N16" s="4">
        <f>IF($J16='Auto Responses'!$J$11,1,IF(AND($J16="",$I16='Auto Responses'!$J$11),1,0))</f>
        <v>0</v>
      </c>
      <c r="O16" s="105" t="str">
        <f>IF(OR($E16='Auto Responses'!$L$13,$F16='Auto Responses'!$J$5),'Auto Responses'!$J$5,IF($J16="",$K16,IF($J16='Auto Responses'!$J$13,5,IF($J16='Auto Responses'!$J$12,10,IF($J16='Auto Responses'!$J$11,20,0)))))</f>
        <v>N/A</v>
      </c>
      <c r="P16" s="105" t="str">
        <f>IF(OR($O16='Auto Responses'!$J$5,$L16='Auto Responses'!$J$5),'Auto Responses'!$J$5,$O16*$L16)</f>
        <v>N/A</v>
      </c>
      <c r="Q16" s="105">
        <f t="shared" si="1"/>
        <v>0</v>
      </c>
      <c r="R16" s="105">
        <f t="shared" si="5"/>
        <v>0</v>
      </c>
      <c r="S16" s="105">
        <f t="shared" si="2"/>
        <v>0</v>
      </c>
      <c r="T16" s="105">
        <f t="shared" si="3"/>
        <v>0</v>
      </c>
      <c r="U16" s="105">
        <f t="shared" si="6"/>
        <v>0</v>
      </c>
      <c r="V16" s="105">
        <f t="shared" si="4"/>
        <v>0</v>
      </c>
    </row>
    <row r="17" spans="1:22" ht="56" x14ac:dyDescent="0.3">
      <c r="A17" s="4" t="str">
        <f>Questions!$A17</f>
        <v>REQU-01</v>
      </c>
      <c r="B17" s="4" t="str">
        <f t="shared" si="0"/>
        <v>REQU</v>
      </c>
      <c r="C17" s="4" t="str">
        <f>VLOOKUP($A17,Questions!$A$3:$L$333,2,0)&amp;""</f>
        <v>Are you offering a cloud-based product?</v>
      </c>
      <c r="D17" s="4" t="str">
        <f>VLOOKUP($A17,Questions!$A$3:$L$333,11,0)&amp;""</f>
        <v>NA</v>
      </c>
      <c r="E17" s="4" t="str">
        <f>VLOOKUP($A17,Questions!$A$3:$L$333,12,0)&amp;""</f>
        <v>Not Scored</v>
      </c>
      <c r="F17" s="4" t="str">
        <f>VLOOKUP($A17,'Institution Evaluation'!$A$56:$K$345,3,0)&amp;""</f>
        <v>Yes</v>
      </c>
      <c r="G17" s="4" t="str">
        <f>VLOOKUP($A17,'Institution Evaluation'!$A$56:$K$345,7,0)&amp;""</f>
        <v>Not scored</v>
      </c>
      <c r="H17" s="4" t="str">
        <f>VLOOKUP($A17,'Institution Evaluation'!$A$56:$K$345,8,0)&amp;""</f>
        <v/>
      </c>
      <c r="I17" s="4" t="str">
        <f>VLOOKUP($A17,'Institution Evaluation'!$A$56:$K$345,9,0)&amp;""</f>
        <v/>
      </c>
      <c r="J17" s="4" t="str">
        <f>VLOOKUP($A17,'Institution Evaluation'!$A$56:$K$345,10,0)&amp;""</f>
        <v/>
      </c>
      <c r="K17" s="4">
        <f>IF($I17='Auto Responses'!$J$11,20,IF($I17='Auto Responses'!$J$13,5,10))</f>
        <v>10</v>
      </c>
      <c r="L17" s="105" t="str">
        <f>IF($E17='Auto Responses'!$L$13, 'Auto Responses'!$J$5,IF(AND($D17='Auto Responses'!$J$27,$H17=""),'Auto Responses'!$J$5,IF(AND($D17='Auto Responses'!$J$27,$H17='Auto Responses'!$J$7),1,IF(AND($D17='Auto Responses'!$J$27,$H17='Auto Responses'!$J$8),0,IF(OR(AND($F17=$G17,$H17=""),$H17='Auto Responses'!$J$7),1,0)))))</f>
        <v>N/A</v>
      </c>
      <c r="M17" s="4" t="str">
        <f>VLOOKUP($A17,'Institution Evaluation'!$A$56:$K$345,11,0)&amp;""</f>
        <v>FALSE</v>
      </c>
      <c r="N17" s="4">
        <f>IF($J17='Auto Responses'!$J$11,1,IF(AND($J17="",$I17='Auto Responses'!$J$11),1,0))</f>
        <v>0</v>
      </c>
      <c r="O17" s="105" t="str">
        <f>IF($E17='Auto Responses'!$L$13,'Auto Responses'!$J$5,IF($J17="",$K17,IF($J17='Auto Responses'!$J$13,5,IF($J17='Auto Responses'!$J$12,10,IF($J17='Auto Responses'!$J$11,20,0)))))</f>
        <v>N/A</v>
      </c>
      <c r="P17" s="105" t="str">
        <f>IF(OR($O17='Auto Responses'!$J$5,$L17='Auto Responses'!$J$5),'Auto Responses'!$J$5,$O17*$L17)</f>
        <v>N/A</v>
      </c>
      <c r="Q17" s="105">
        <f t="shared" si="1"/>
        <v>0</v>
      </c>
      <c r="R17" s="105">
        <f t="shared" si="5"/>
        <v>0</v>
      </c>
      <c r="S17" s="105">
        <f t="shared" si="2"/>
        <v>0</v>
      </c>
      <c r="T17" s="105">
        <f t="shared" si="3"/>
        <v>0</v>
      </c>
      <c r="U17" s="105">
        <f t="shared" si="6"/>
        <v>0</v>
      </c>
      <c r="V17" s="105">
        <f t="shared" si="4"/>
        <v>0</v>
      </c>
    </row>
    <row r="18" spans="1:22" ht="56" x14ac:dyDescent="0.3">
      <c r="A18" s="4" t="str">
        <f>Questions!$A18</f>
        <v>REQU-02</v>
      </c>
      <c r="B18" s="4" t="str">
        <f t="shared" si="0"/>
        <v>REQU</v>
      </c>
      <c r="C18" s="4" t="str">
        <f>VLOOKUP($A18,Questions!$A$3:$L$333,2,0)&amp;""</f>
        <v>Does your product or service have an interface?</v>
      </c>
      <c r="D18" s="4" t="str">
        <f>VLOOKUP($A18,Questions!$A$3:$L$333,11,0)&amp;""</f>
        <v>NA</v>
      </c>
      <c r="E18" s="4" t="str">
        <f>VLOOKUP($A18,Questions!$A$3:$L$333,12,0)&amp;""</f>
        <v>Not Scored</v>
      </c>
      <c r="F18" s="4" t="str">
        <f>VLOOKUP($A18,'Institution Evaluation'!$A$56:$K$345,3,0)&amp;""</f>
        <v>Yes</v>
      </c>
      <c r="G18" s="4" t="str">
        <f>VLOOKUP($A18,'Institution Evaluation'!$A$56:$K$345,7,0)&amp;""</f>
        <v>Not scored</v>
      </c>
      <c r="H18" s="4" t="str">
        <f>VLOOKUP($A18,'Institution Evaluation'!$A$56:$K$345,8,0)&amp;""</f>
        <v/>
      </c>
      <c r="I18" s="4" t="str">
        <f>VLOOKUP($A18,'Institution Evaluation'!$A$56:$K$345,9,0)&amp;""</f>
        <v/>
      </c>
      <c r="J18" s="4" t="str">
        <f>VLOOKUP($A18,'Institution Evaluation'!$A$56:$K$345,10,0)&amp;""</f>
        <v/>
      </c>
      <c r="K18" s="4">
        <f>IF($I18='Auto Responses'!$J$11,20,IF($I18='Auto Responses'!$J$13,5,10))</f>
        <v>10</v>
      </c>
      <c r="L18" s="105" t="str">
        <f>IF($E18='Auto Responses'!$L$13, 'Auto Responses'!$J$5,IF(AND($D18='Auto Responses'!$J$27,$H18=""),'Auto Responses'!$J$5,IF(AND($D18='Auto Responses'!$J$27,$H18='Auto Responses'!$J$7),1,IF(AND($D18='Auto Responses'!$J$27,$H18='Auto Responses'!$J$8),0,IF(OR(AND($F18=$G18,$H18=""),$H18='Auto Responses'!$J$7),1,0)))))</f>
        <v>N/A</v>
      </c>
      <c r="M18" s="4" t="str">
        <f>VLOOKUP($A18,'Institution Evaluation'!$A$56:$K$345,11,0)&amp;""</f>
        <v>FALSE</v>
      </c>
      <c r="N18" s="4">
        <f>IF($J18='Auto Responses'!$J$11,1,IF(AND($J18="",$I18='Auto Responses'!$J$11),1,0))</f>
        <v>0</v>
      </c>
      <c r="O18" s="105" t="str">
        <f>IF($E18='Auto Responses'!$L$13,'Auto Responses'!$J$5,IF($J18="",$K18,IF($J18='Auto Responses'!$J$13,5,IF($J18='Auto Responses'!$J$12,10,IF($J18='Auto Responses'!$J$11,20,0)))))</f>
        <v>N/A</v>
      </c>
      <c r="P18" s="105" t="str">
        <f>IF(OR($O18='Auto Responses'!$J$5,$L18='Auto Responses'!$J$5),'Auto Responses'!$J$5,$O18*$L18)</f>
        <v>N/A</v>
      </c>
      <c r="Q18" s="105">
        <f t="shared" si="1"/>
        <v>0</v>
      </c>
      <c r="R18" s="105">
        <f t="shared" si="5"/>
        <v>0</v>
      </c>
      <c r="S18" s="105">
        <f t="shared" si="2"/>
        <v>0</v>
      </c>
      <c r="T18" s="105">
        <f t="shared" si="3"/>
        <v>0</v>
      </c>
      <c r="U18" s="105">
        <f t="shared" si="6"/>
        <v>0</v>
      </c>
      <c r="V18" s="105">
        <f t="shared" si="4"/>
        <v>0</v>
      </c>
    </row>
    <row r="19" spans="1:22" ht="56" x14ac:dyDescent="0.3">
      <c r="A19" s="4" t="str">
        <f>Questions!$A19</f>
        <v>REQU-03</v>
      </c>
      <c r="B19" s="4" t="str">
        <f t="shared" si="0"/>
        <v>REQU</v>
      </c>
      <c r="C19" s="4" t="str">
        <f>VLOOKUP($A19,Questions!$A$3:$L$333,2,0)&amp;""</f>
        <v>Are you providing consulting services?</v>
      </c>
      <c r="D19" s="4" t="str">
        <f>VLOOKUP($A19,Questions!$A$3:$L$333,11,0)&amp;""</f>
        <v>NA</v>
      </c>
      <c r="E19" s="4" t="str">
        <f>VLOOKUP($A19,Questions!$A$3:$L$333,12,0)&amp;""</f>
        <v>Not Scored</v>
      </c>
      <c r="F19" s="4" t="str">
        <f>VLOOKUP($A19,'Institution Evaluation'!$A$56:$K$345,3,0)&amp;""</f>
        <v>Yes</v>
      </c>
      <c r="G19" s="4" t="str">
        <f>VLOOKUP($A19,'Institution Evaluation'!$A$56:$K$345,7,0)&amp;""</f>
        <v>Not scored</v>
      </c>
      <c r="H19" s="4" t="str">
        <f>VLOOKUP($A19,'Institution Evaluation'!$A$56:$K$345,8,0)&amp;""</f>
        <v/>
      </c>
      <c r="I19" s="4" t="str">
        <f>VLOOKUP($A19,'Institution Evaluation'!$A$56:$K$345,9,0)&amp;""</f>
        <v/>
      </c>
      <c r="J19" s="4" t="str">
        <f>VLOOKUP($A19,'Institution Evaluation'!$A$56:$K$345,10,0)&amp;""</f>
        <v/>
      </c>
      <c r="K19" s="4">
        <f>IF($I19='Auto Responses'!$J$11,20,IF($I19='Auto Responses'!$J$13,5,10))</f>
        <v>10</v>
      </c>
      <c r="L19" s="105" t="str">
        <f>IF($E19='Auto Responses'!$L$13, 'Auto Responses'!$J$5,IF(AND($D19='Auto Responses'!$J$27,$H19=""),'Auto Responses'!$J$5,IF(AND($D19='Auto Responses'!$J$27,$H19='Auto Responses'!$J$7),1,IF(AND($D19='Auto Responses'!$J$27,$H19='Auto Responses'!$J$8),0,IF(OR(AND($F19=$G19,$H19=""),$H19='Auto Responses'!$J$7),1,0)))))</f>
        <v>N/A</v>
      </c>
      <c r="M19" s="4" t="str">
        <f>VLOOKUP($A19,'Institution Evaluation'!$A$56:$K$345,11,0)&amp;""</f>
        <v>FALSE</v>
      </c>
      <c r="N19" s="4">
        <f>IF($J19='Auto Responses'!$J$11,1,IF(AND($J19="",$I19='Auto Responses'!$J$11),1,0))</f>
        <v>0</v>
      </c>
      <c r="O19" s="105" t="str">
        <f>IF($E19='Auto Responses'!$L$13,'Auto Responses'!$J$5,IF($J19="",$K19,IF($J19='Auto Responses'!$J$13,5,IF($J19='Auto Responses'!$J$12,10,IF($J19='Auto Responses'!$J$11,20,0)))))</f>
        <v>N/A</v>
      </c>
      <c r="P19" s="105" t="str">
        <f>IF(OR($O19='Auto Responses'!$J$5,$L19='Auto Responses'!$J$5),'Auto Responses'!$J$5,$O19*$L19)</f>
        <v>N/A</v>
      </c>
      <c r="Q19" s="105">
        <f t="shared" si="1"/>
        <v>0</v>
      </c>
      <c r="R19" s="105">
        <f t="shared" si="5"/>
        <v>0</v>
      </c>
      <c r="S19" s="105">
        <f t="shared" si="2"/>
        <v>0</v>
      </c>
      <c r="T19" s="105">
        <f t="shared" si="3"/>
        <v>0</v>
      </c>
      <c r="U19" s="105">
        <f t="shared" si="6"/>
        <v>0</v>
      </c>
      <c r="V19" s="105">
        <f t="shared" si="4"/>
        <v>0</v>
      </c>
    </row>
    <row r="20" spans="1:22" ht="56" x14ac:dyDescent="0.3">
      <c r="A20" s="4" t="str">
        <f>Questions!$A20</f>
        <v>REQU-04</v>
      </c>
      <c r="B20" s="4" t="str">
        <f t="shared" si="0"/>
        <v>REQU</v>
      </c>
      <c r="C20" s="4" t="str">
        <f>VLOOKUP($A20,Questions!$A$3:$L$333,2,0)&amp;""</f>
        <v>Does your solution have AI features, or are there plans to implement AI features in the next 12 months?</v>
      </c>
      <c r="D20" s="4" t="str">
        <f>VLOOKUP($A20,Questions!$A$3:$L$333,11,0)&amp;""</f>
        <v>NA</v>
      </c>
      <c r="E20" s="4" t="str">
        <f>VLOOKUP($A20,Questions!$A$3:$L$333,12,0)&amp;""</f>
        <v>Not Scored</v>
      </c>
      <c r="F20" s="4" t="str">
        <f>VLOOKUP($A20,'Institution Evaluation'!$A$56:$K$345,3,0)&amp;""</f>
        <v>Yes</v>
      </c>
      <c r="G20" s="4" t="str">
        <f>VLOOKUP($A20,'Institution Evaluation'!$A$56:$K$345,7,0)&amp;""</f>
        <v>Not scored</v>
      </c>
      <c r="H20" s="4" t="str">
        <f>VLOOKUP($A20,'Institution Evaluation'!$A$56:$K$345,8,0)&amp;""</f>
        <v/>
      </c>
      <c r="I20" s="4" t="str">
        <f>VLOOKUP($A20,'Institution Evaluation'!$A$56:$K$345,9,0)&amp;""</f>
        <v/>
      </c>
      <c r="J20" s="4" t="str">
        <f>VLOOKUP($A20,'Institution Evaluation'!$A$56:$K$345,10,0)&amp;""</f>
        <v/>
      </c>
      <c r="K20" s="4">
        <f>IF($I20='Auto Responses'!$J$11,20,IF($I20='Auto Responses'!$J$13,5,10))</f>
        <v>10</v>
      </c>
      <c r="L20" s="105" t="str">
        <f>IF($E20='Auto Responses'!$L$13, 'Auto Responses'!$J$5,IF(AND($D20='Auto Responses'!$J$27,$H20=""),'Auto Responses'!$J$5,IF(AND($D20='Auto Responses'!$J$27,$H20='Auto Responses'!$J$7),1,IF(AND($D20='Auto Responses'!$J$27,$H20='Auto Responses'!$J$8),0,IF(OR(AND($F20=$G20,$H20=""),$H20='Auto Responses'!$J$7),1,0)))))</f>
        <v>N/A</v>
      </c>
      <c r="M20" s="4" t="str">
        <f>VLOOKUP($A20,'Institution Evaluation'!$A$56:$K$345,11,0)&amp;""</f>
        <v>FALSE</v>
      </c>
      <c r="N20" s="4">
        <f>IF($J20='Auto Responses'!$J$11,1,IF(AND($J20="",$I20='Auto Responses'!$J$11),1,0))</f>
        <v>0</v>
      </c>
      <c r="O20" s="105" t="str">
        <f>IF($E20='Auto Responses'!$L$13,'Auto Responses'!$J$5,IF($J20="",$K20,IF($J20='Auto Responses'!$J$13,5,IF($J20='Auto Responses'!$J$12,10,IF($J20='Auto Responses'!$J$11,20,0)))))</f>
        <v>N/A</v>
      </c>
      <c r="P20" s="105" t="str">
        <f>IF(OR($O20='Auto Responses'!$J$5,$L20='Auto Responses'!$J$5),'Auto Responses'!$J$5,$O20*$L20)</f>
        <v>N/A</v>
      </c>
      <c r="Q20" s="105">
        <f t="shared" si="1"/>
        <v>0</v>
      </c>
      <c r="R20" s="105">
        <f t="shared" si="5"/>
        <v>0</v>
      </c>
      <c r="S20" s="105">
        <f t="shared" si="2"/>
        <v>0</v>
      </c>
      <c r="T20" s="105">
        <f t="shared" si="3"/>
        <v>0</v>
      </c>
      <c r="U20" s="105">
        <f t="shared" si="6"/>
        <v>0</v>
      </c>
      <c r="V20" s="105">
        <f t="shared" si="4"/>
        <v>0</v>
      </c>
    </row>
    <row r="21" spans="1:22" ht="56" x14ac:dyDescent="0.3">
      <c r="A21" s="4" t="str">
        <f>Questions!$A21</f>
        <v>REQU-05</v>
      </c>
      <c r="B21" s="4" t="str">
        <f t="shared" si="0"/>
        <v>REQU</v>
      </c>
      <c r="C21" s="4" t="str">
        <f>VLOOKUP($A21,Questions!$A$3:$L$333,2,0)&amp;""</f>
        <v>Does your solution process protected health information (PHI) or any data covered by the Health Insurance Portability and Accountability Act (HIPAA)?</v>
      </c>
      <c r="D21" s="4" t="str">
        <f>VLOOKUP($A21,Questions!$A$3:$L$333,11,0)&amp;""</f>
        <v>NA</v>
      </c>
      <c r="E21" s="4" t="str">
        <f>VLOOKUP($A21,Questions!$A$3:$L$333,12,0)&amp;""</f>
        <v>Not Scored</v>
      </c>
      <c r="F21" s="4" t="str">
        <f>VLOOKUP($A21,'Institution Evaluation'!$A$56:$K$345,3,0)&amp;""</f>
        <v>No</v>
      </c>
      <c r="G21" s="4" t="str">
        <f>VLOOKUP($A21,'Institution Evaluation'!$A$56:$K$345,7,0)&amp;""</f>
        <v>Not scored</v>
      </c>
      <c r="H21" s="4" t="str">
        <f>VLOOKUP($A21,'Institution Evaluation'!$A$56:$K$345,8,0)&amp;""</f>
        <v/>
      </c>
      <c r="I21" s="4" t="str">
        <f>VLOOKUP($A21,'Institution Evaluation'!$A$56:$K$345,9,0)&amp;""</f>
        <v/>
      </c>
      <c r="J21" s="4" t="str">
        <f>VLOOKUP($A21,'Institution Evaluation'!$A$56:$K$345,10,0)&amp;""</f>
        <v/>
      </c>
      <c r="K21" s="4">
        <f>IF($I21='Auto Responses'!$J$11,20,IF($I21='Auto Responses'!$J$13,5,10))</f>
        <v>10</v>
      </c>
      <c r="L21" s="105" t="str">
        <f>IF($E21='Auto Responses'!$L$13, 'Auto Responses'!$J$5,IF(AND($D21='Auto Responses'!$J$27,$H21=""),'Auto Responses'!$J$5,IF(AND($D21='Auto Responses'!$J$27,$H21='Auto Responses'!$J$7),1,IF(AND($D21='Auto Responses'!$J$27,$H21='Auto Responses'!$J$8),0,IF(OR(AND($F21=$G21,$H21=""),$H21='Auto Responses'!$J$7),1,0)))))</f>
        <v>N/A</v>
      </c>
      <c r="M21" s="4" t="str">
        <f>VLOOKUP($A21,'Institution Evaluation'!$A$56:$K$345,11,0)&amp;""</f>
        <v>FALSE</v>
      </c>
      <c r="N21" s="4">
        <f>IF($J21='Auto Responses'!$J$11,1,IF(AND($J21="",$I21='Auto Responses'!$J$11),1,0))</f>
        <v>0</v>
      </c>
      <c r="O21" s="105" t="str">
        <f>IF($E21='Auto Responses'!$L$13,'Auto Responses'!$J$5,IF($J21="",$K21,IF($J21='Auto Responses'!$J$13,5,IF($J21='Auto Responses'!$J$12,10,IF($J21='Auto Responses'!$J$11,20,0)))))</f>
        <v>N/A</v>
      </c>
      <c r="P21" s="105" t="str">
        <f>IF(OR($O21='Auto Responses'!$J$5,$L21='Auto Responses'!$J$5),'Auto Responses'!$J$5,$O21*$L21)</f>
        <v>N/A</v>
      </c>
      <c r="Q21" s="105">
        <f t="shared" si="1"/>
        <v>0</v>
      </c>
      <c r="R21" s="105">
        <f t="shared" si="5"/>
        <v>0</v>
      </c>
      <c r="S21" s="105">
        <f t="shared" si="2"/>
        <v>0</v>
      </c>
      <c r="T21" s="105">
        <f t="shared" si="3"/>
        <v>0</v>
      </c>
      <c r="U21" s="105">
        <f t="shared" si="6"/>
        <v>0</v>
      </c>
      <c r="V21" s="105">
        <f t="shared" si="4"/>
        <v>0</v>
      </c>
    </row>
    <row r="22" spans="1:22" ht="56" x14ac:dyDescent="0.3">
      <c r="A22" s="4" t="str">
        <f>Questions!$A22</f>
        <v>REQU-06</v>
      </c>
      <c r="B22" s="4" t="str">
        <f t="shared" si="0"/>
        <v>REQU</v>
      </c>
      <c r="C22" s="4" t="str">
        <f>VLOOKUP($A22,Questions!$A$3:$L$333,2,0)&amp;""</f>
        <v>Is the solution designed to process, store, or transmit credit card information?</v>
      </c>
      <c r="D22" s="4" t="str">
        <f>VLOOKUP($A22,Questions!$A$3:$L$333,11,0)&amp;""</f>
        <v>NA</v>
      </c>
      <c r="E22" s="4" t="str">
        <f>VLOOKUP($A22,Questions!$A$3:$L$333,12,0)&amp;""</f>
        <v>Not Scored</v>
      </c>
      <c r="F22" s="4" t="str">
        <f>VLOOKUP($A22,'Institution Evaluation'!$A$56:$K$345,3,0)&amp;""</f>
        <v>No</v>
      </c>
      <c r="G22" s="4" t="str">
        <f>VLOOKUP($A22,'Institution Evaluation'!$A$56:$K$345,7,0)&amp;""</f>
        <v>Not scored</v>
      </c>
      <c r="H22" s="4" t="str">
        <f>VLOOKUP($A22,'Institution Evaluation'!$A$56:$K$345,8,0)&amp;""</f>
        <v/>
      </c>
      <c r="I22" s="4" t="str">
        <f>VLOOKUP($A22,'Institution Evaluation'!$A$56:$K$345,9,0)&amp;""</f>
        <v/>
      </c>
      <c r="J22" s="4" t="str">
        <f>VLOOKUP($A22,'Institution Evaluation'!$A$56:$K$345,10,0)&amp;""</f>
        <v/>
      </c>
      <c r="K22" s="4">
        <f>IF($I22='Auto Responses'!$J$11,20,IF($I22='Auto Responses'!$J$13,5,10))</f>
        <v>10</v>
      </c>
      <c r="L22" s="105" t="str">
        <f>IF($E22='Auto Responses'!$L$13, 'Auto Responses'!$J$5,IF(AND($D22='Auto Responses'!$J$27,$H22=""),'Auto Responses'!$J$5,IF(AND($D22='Auto Responses'!$J$27,$H22='Auto Responses'!$J$7),1,IF(AND($D22='Auto Responses'!$J$27,$H22='Auto Responses'!$J$8),0,IF(OR(AND($F22=$G22,$H22=""),$H22='Auto Responses'!$J$7),1,0)))))</f>
        <v>N/A</v>
      </c>
      <c r="M22" s="4" t="str">
        <f>VLOOKUP($A22,'Institution Evaluation'!$A$56:$K$345,11,0)&amp;""</f>
        <v>FALSE</v>
      </c>
      <c r="N22" s="4">
        <f>IF($J22='Auto Responses'!$J$11,1,IF(AND($J22="",$I22='Auto Responses'!$J$11),1,0))</f>
        <v>0</v>
      </c>
      <c r="O22" s="105" t="str">
        <f>IF($E22='Auto Responses'!$L$13,'Auto Responses'!$J$5,IF($J22="",$K22,IF($J22='Auto Responses'!$J$13,5,IF($J22='Auto Responses'!$J$12,10,IF($J22='Auto Responses'!$J$11,20,0)))))</f>
        <v>N/A</v>
      </c>
      <c r="P22" s="105" t="str">
        <f>IF(OR($O22='Auto Responses'!$J$5,$L22='Auto Responses'!$J$5),'Auto Responses'!$J$5,$O22*$L22)</f>
        <v>N/A</v>
      </c>
      <c r="Q22" s="105">
        <f t="shared" si="1"/>
        <v>0</v>
      </c>
      <c r="R22" s="105">
        <f t="shared" si="5"/>
        <v>0</v>
      </c>
      <c r="S22" s="105">
        <f t="shared" si="2"/>
        <v>0</v>
      </c>
      <c r="T22" s="105">
        <f t="shared" si="3"/>
        <v>0</v>
      </c>
      <c r="U22" s="105">
        <f t="shared" si="6"/>
        <v>0</v>
      </c>
      <c r="V22" s="105">
        <f t="shared" si="4"/>
        <v>0</v>
      </c>
    </row>
    <row r="23" spans="1:22" ht="70" x14ac:dyDescent="0.3">
      <c r="A23" s="4" t="str">
        <f>Questions!$A23</f>
        <v>REQU-07</v>
      </c>
      <c r="B23" s="4" t="str">
        <f t="shared" si="0"/>
        <v>REQU</v>
      </c>
      <c r="C23" s="4" t="str">
        <f>VLOOKUP($A23,Questions!$A$3:$L$333,2,0)&amp;""</f>
        <v>Does operating your solution require the institution to operate a physical or virtual appliance in their own environment or to provide inbound firewall exceptions to allow your employees to remotely administer systems in the institution's environment?</v>
      </c>
      <c r="D23" s="4" t="str">
        <f>VLOOKUP($A23,Questions!$A$3:$L$333,11,0)&amp;""</f>
        <v>NA</v>
      </c>
      <c r="E23" s="4" t="str">
        <f>VLOOKUP($A23,Questions!$A$3:$L$333,12,0)&amp;""</f>
        <v>Not Scored</v>
      </c>
      <c r="F23" s="4" t="str">
        <f>VLOOKUP($A23,'Institution Evaluation'!$A$56:$K$345,3,0)&amp;""</f>
        <v>No</v>
      </c>
      <c r="G23" s="4" t="str">
        <f>VLOOKUP($A23,'Institution Evaluation'!$A$56:$K$345,7,0)&amp;""</f>
        <v>Not scored</v>
      </c>
      <c r="H23" s="4" t="str">
        <f>VLOOKUP($A23,'Institution Evaluation'!$A$56:$K$345,8,0)&amp;""</f>
        <v/>
      </c>
      <c r="I23" s="4" t="str">
        <f>VLOOKUP($A23,'Institution Evaluation'!$A$56:$K$345,9,0)&amp;""</f>
        <v/>
      </c>
      <c r="J23" s="4" t="str">
        <f>VLOOKUP($A23,'Institution Evaluation'!$A$56:$K$345,10,0)&amp;""</f>
        <v/>
      </c>
      <c r="K23" s="4">
        <f>IF($I23='Auto Responses'!$J$11,20,IF($I23='Auto Responses'!$J$13,5,10))</f>
        <v>10</v>
      </c>
      <c r="L23" s="105" t="str">
        <f>IF($E23='Auto Responses'!$L$13, 'Auto Responses'!$J$5,IF(AND($D23='Auto Responses'!$J$27,$H23=""),'Auto Responses'!$J$5,IF(AND($D23='Auto Responses'!$J$27,$H23='Auto Responses'!$J$7),1,IF(AND($D23='Auto Responses'!$J$27,$H23='Auto Responses'!$J$8),0,IF(OR(AND($F23=$G23,$H23=""),$H23='Auto Responses'!$J$7),1,0)))))</f>
        <v>N/A</v>
      </c>
      <c r="M23" s="4" t="str">
        <f>VLOOKUP($A23,'Institution Evaluation'!$A$56:$K$345,11,0)&amp;""</f>
        <v>FALSE</v>
      </c>
      <c r="N23" s="4">
        <f>IF($J23='Auto Responses'!$J$11,1,IF(AND($J23="",$I23='Auto Responses'!$J$11),1,0))</f>
        <v>0</v>
      </c>
      <c r="O23" s="105" t="str">
        <f>IF($E23='Auto Responses'!$L$13,'Auto Responses'!$J$5,IF($J23="",$K23,IF($J23='Auto Responses'!$J$13,5,IF($J23='Auto Responses'!$J$12,10,IF($J23='Auto Responses'!$J$11,20,0)))))</f>
        <v>N/A</v>
      </c>
      <c r="P23" s="105" t="str">
        <f>IF(OR($O23='Auto Responses'!$J$5,$L23='Auto Responses'!$J$5),'Auto Responses'!$J$5,$O23*$L23)</f>
        <v>N/A</v>
      </c>
      <c r="Q23" s="105">
        <f t="shared" si="1"/>
        <v>0</v>
      </c>
      <c r="R23" s="105">
        <f t="shared" si="5"/>
        <v>0</v>
      </c>
      <c r="S23" s="105">
        <f t="shared" si="2"/>
        <v>0</v>
      </c>
      <c r="T23" s="105">
        <f t="shared" si="3"/>
        <v>0</v>
      </c>
      <c r="U23" s="105">
        <f t="shared" si="6"/>
        <v>0</v>
      </c>
      <c r="V23" s="105">
        <f t="shared" si="4"/>
        <v>0</v>
      </c>
    </row>
    <row r="24" spans="1:22" ht="56" x14ac:dyDescent="0.3">
      <c r="A24" s="4" t="str">
        <f>Questions!$A24</f>
        <v>REQU-08</v>
      </c>
      <c r="B24" s="4" t="str">
        <f t="shared" si="0"/>
        <v>REQU</v>
      </c>
      <c r="C24" s="4" t="str">
        <f>VLOOKUP($A24,Questions!$A$3:$L$333,2,0)&amp;""</f>
        <v>Does your solution have access to personal or institutional data?</v>
      </c>
      <c r="D24" s="4" t="str">
        <f>VLOOKUP($A24,Questions!$A$3:$L$333,11,0)&amp;""</f>
        <v>NA</v>
      </c>
      <c r="E24" s="4" t="str">
        <f>VLOOKUP($A24,Questions!$A$3:$L$333,12,0)&amp;""</f>
        <v>Not Scored</v>
      </c>
      <c r="F24" s="4" t="str">
        <f>VLOOKUP($A24,'Institution Evaluation'!$A$56:$K$345,3,0)&amp;""</f>
        <v>Yes</v>
      </c>
      <c r="G24" s="4" t="str">
        <f>VLOOKUP($A24,'Institution Evaluation'!$A$56:$K$345,7,0)&amp;""</f>
        <v>Not scored</v>
      </c>
      <c r="H24" s="4" t="str">
        <f>VLOOKUP($A24,'Institution Evaluation'!$A$56:$K$345,8,0)&amp;""</f>
        <v/>
      </c>
      <c r="I24" s="4" t="str">
        <f>VLOOKUP($A24,'Institution Evaluation'!$A$56:$K$345,9,0)&amp;""</f>
        <v/>
      </c>
      <c r="J24" s="4" t="str">
        <f>VLOOKUP($A24,'Institution Evaluation'!$A$56:$K$345,10,0)&amp;""</f>
        <v/>
      </c>
      <c r="K24" s="4">
        <f>IF($I24='Auto Responses'!$J$11,20,IF($I24='Auto Responses'!$J$13,5,10))</f>
        <v>10</v>
      </c>
      <c r="L24" s="105" t="str">
        <f>IF($E24='Auto Responses'!$L$13, 'Auto Responses'!$J$5,IF(AND($D24='Auto Responses'!$J$27,$H24=""),'Auto Responses'!$J$5,IF(AND($D24='Auto Responses'!$J$27,$H24='Auto Responses'!$J$7),1,IF(AND($D24='Auto Responses'!$J$27,$H24='Auto Responses'!$J$8),0,IF(OR(AND($F24=$G24,$H24=""),$H24='Auto Responses'!$J$7),1,0)))))</f>
        <v>N/A</v>
      </c>
      <c r="M24" s="4" t="str">
        <f>VLOOKUP($A24,'Institution Evaluation'!$A$56:$K$345,11,0)&amp;""</f>
        <v>FALSE</v>
      </c>
      <c r="N24" s="4">
        <f>IF($J24='Auto Responses'!$J$11,1,IF(AND($J24="",$I24='Auto Responses'!$J$11),1,0))</f>
        <v>0</v>
      </c>
      <c r="O24" s="105" t="str">
        <f>IF($E24='Auto Responses'!$L$13,'Auto Responses'!$J$5,IF($J24="",$K24,IF($J24='Auto Responses'!$J$13,5,IF($J24='Auto Responses'!$J$12,10,IF($J24='Auto Responses'!$J$11,20,0)))))</f>
        <v>N/A</v>
      </c>
      <c r="P24" s="105" t="str">
        <f>IF(OR($O24='Auto Responses'!$J$5,$L24='Auto Responses'!$J$5),'Auto Responses'!$J$5,$O24*$L24)</f>
        <v>N/A</v>
      </c>
      <c r="Q24" s="105">
        <f t="shared" si="1"/>
        <v>0</v>
      </c>
      <c r="R24" s="105">
        <f t="shared" si="5"/>
        <v>0</v>
      </c>
      <c r="S24" s="105">
        <f t="shared" si="2"/>
        <v>0</v>
      </c>
      <c r="T24" s="105">
        <f t="shared" si="3"/>
        <v>0</v>
      </c>
      <c r="U24" s="105">
        <f t="shared" si="6"/>
        <v>0</v>
      </c>
      <c r="V24" s="105">
        <f t="shared" si="4"/>
        <v>0</v>
      </c>
    </row>
    <row r="25" spans="1:22" ht="56" x14ac:dyDescent="0.3">
      <c r="A25" s="4" t="str">
        <f>Questions!$A25</f>
        <v>DOCU-01</v>
      </c>
      <c r="B25" s="4" t="str">
        <f t="shared" si="0"/>
        <v>DOCU</v>
      </c>
      <c r="C25" s="4" t="str">
        <f>VLOOKUP($A25,Questions!$A$3:$L$333,2,0)&amp;""</f>
        <v>Do you have a well-documented business continuity plan (BCP), with a clear owner, that is tested annually?*</v>
      </c>
      <c r="D25" s="4" t="str">
        <f>VLOOKUP($A25,Questions!$A$3:$L$333,11,0)&amp;""</f>
        <v/>
      </c>
      <c r="E25" s="4" t="str">
        <f>VLOOKUP($A25,Questions!$A$3:$L$333,12,0)&amp;""</f>
        <v>Organization</v>
      </c>
      <c r="F25" s="4" t="str">
        <f>VLOOKUP($A25,'Institution Evaluation'!$A$56:$K$345,3,0)&amp;""</f>
        <v>Yes</v>
      </c>
      <c r="G25" s="4" t="str">
        <f>VLOOKUP($A25,'Institution Evaluation'!$A$56:$K$345,7,0)&amp;""</f>
        <v>Yes</v>
      </c>
      <c r="H25" s="4" t="str">
        <f>VLOOKUP($A25,'Institution Evaluation'!$A$56:$K$345,8,0)&amp;""</f>
        <v/>
      </c>
      <c r="I25" s="4" t="str">
        <f>VLOOKUP($A25,'Institution Evaluation'!$A$56:$K$345,9,0)&amp;""</f>
        <v>Critical Importance</v>
      </c>
      <c r="J25" s="4" t="str">
        <f>VLOOKUP($A25,'Institution Evaluation'!$A$56:$K$345,10,0)&amp;""</f>
        <v/>
      </c>
      <c r="K25" s="4">
        <f>IF($I25='Auto Responses'!$J$11,20,IF($I25='Auto Responses'!$J$13,5,10))</f>
        <v>20</v>
      </c>
      <c r="L25" s="105">
        <f>IF($E25='Auto Responses'!$L$13, 'Auto Responses'!$J$5,IF(AND($D25='Auto Responses'!$J$27,$H25=""),'Auto Responses'!$J$5,IF(AND($D25='Auto Responses'!$J$27,$H25='Auto Responses'!$J$7),1,IF(AND($D25='Auto Responses'!$J$27,$H25='Auto Responses'!$J$8),0,IF(OR(AND($F25=$G25,$H25=""),$H25='Auto Responses'!$J$7),1,0)))))</f>
        <v>1</v>
      </c>
      <c r="M25" s="4" t="str">
        <f>VLOOKUP($A25,'Institution Evaluation'!$A$56:$K$345,11,0)&amp;""</f>
        <v>FALSE</v>
      </c>
      <c r="N25" s="4">
        <f>IF($J25='Auto Responses'!$J$11,1,IF(AND($J25="",$I25='Auto Responses'!$J$11),1,0))</f>
        <v>1</v>
      </c>
      <c r="O25" s="105">
        <f>IF(OR($E25='Auto Responses'!$L$13,$F25='Auto Responses'!$J$5),'Auto Responses'!$J$5,IF($J25="",$K25,IF($J25='Auto Responses'!$J$13,5,IF($J25='Auto Responses'!$J$12,10,IF($J25='Auto Responses'!$J$11,20,0)))))</f>
        <v>20</v>
      </c>
      <c r="P25" s="105">
        <f>IF(OR($O25='Auto Responses'!$J$5,$L25='Auto Responses'!$J$5),'Auto Responses'!$J$5,$O25*$L25)</f>
        <v>20</v>
      </c>
      <c r="Q25" s="105">
        <f t="shared" si="1"/>
        <v>0</v>
      </c>
      <c r="R25" s="105">
        <f t="shared" si="5"/>
        <v>0</v>
      </c>
      <c r="S25" s="105">
        <f t="shared" si="2"/>
        <v>0</v>
      </c>
      <c r="T25" s="105">
        <f t="shared" si="3"/>
        <v>1</v>
      </c>
      <c r="U25" s="105">
        <f t="shared" si="6"/>
        <v>1</v>
      </c>
      <c r="V25" s="105">
        <f t="shared" si="4"/>
        <v>1</v>
      </c>
    </row>
    <row r="26" spans="1:22" ht="56" x14ac:dyDescent="0.3">
      <c r="A26" s="4" t="str">
        <f>Questions!$A26</f>
        <v>DOCU-02</v>
      </c>
      <c r="B26" s="4" t="str">
        <f t="shared" si="0"/>
        <v>DOCU</v>
      </c>
      <c r="C26" s="4" t="str">
        <f>VLOOKUP($A26,Questions!$A$3:$L$333,2,0)&amp;""</f>
        <v>Do you have a well-documented disaster recovery plan (DRP), with a clear owner, that is tested annually?*</v>
      </c>
      <c r="D26" s="4" t="str">
        <f>VLOOKUP($A26,Questions!$A$3:$L$333,11,0)&amp;""</f>
        <v/>
      </c>
      <c r="E26" s="4" t="str">
        <f>VLOOKUP($A26,Questions!$A$3:$L$333,12,0)&amp;""</f>
        <v>Organization</v>
      </c>
      <c r="F26" s="4" t="str">
        <f>VLOOKUP($A26,'Institution Evaluation'!$A$56:$K$345,3,0)&amp;""</f>
        <v>Yes</v>
      </c>
      <c r="G26" s="4" t="str">
        <f>VLOOKUP($A26,'Institution Evaluation'!$A$56:$K$345,7,0)&amp;""</f>
        <v>Yes</v>
      </c>
      <c r="H26" s="4" t="str">
        <f>VLOOKUP($A26,'Institution Evaluation'!$A$56:$K$345,8,0)&amp;""</f>
        <v/>
      </c>
      <c r="I26" s="4" t="str">
        <f>VLOOKUP($A26,'Institution Evaluation'!$A$56:$K$345,9,0)&amp;""</f>
        <v>Critical Importance</v>
      </c>
      <c r="J26" s="4" t="str">
        <f>VLOOKUP($A26,'Institution Evaluation'!$A$56:$K$345,10,0)&amp;""</f>
        <v/>
      </c>
      <c r="K26" s="4">
        <f>IF($I26='Auto Responses'!$J$11,20,IF($I26='Auto Responses'!$J$13,5,10))</f>
        <v>20</v>
      </c>
      <c r="L26" s="105">
        <f>IF($E26='Auto Responses'!$L$13, 'Auto Responses'!$J$5,IF(AND($D26='Auto Responses'!$J$27,$H26=""),'Auto Responses'!$J$5,IF(AND($D26='Auto Responses'!$J$27,$H26='Auto Responses'!$J$7),1,IF(AND($D26='Auto Responses'!$J$27,$H26='Auto Responses'!$J$8),0,IF(OR(AND($F26=$G26,$H26=""),$H26='Auto Responses'!$J$7),1,0)))))</f>
        <v>1</v>
      </c>
      <c r="M26" s="4" t="str">
        <f>VLOOKUP($A26,'Institution Evaluation'!$A$56:$K$345,11,0)&amp;""</f>
        <v>FALSE</v>
      </c>
      <c r="N26" s="4">
        <f>IF($J26='Auto Responses'!$J$11,1,IF(AND($J26="",$I26='Auto Responses'!$J$11),1,0))</f>
        <v>1</v>
      </c>
      <c r="O26" s="105">
        <f>IF(OR($E26='Auto Responses'!$L$13,$F26='Auto Responses'!$J$5),'Auto Responses'!$J$5,IF($J26="",$K26,IF($J26='Auto Responses'!$J$13,5,IF($J26='Auto Responses'!$J$12,10,IF($J26='Auto Responses'!$J$11,20,0)))))</f>
        <v>20</v>
      </c>
      <c r="P26" s="105">
        <f>IF(OR($O26='Auto Responses'!$J$5,$L26='Auto Responses'!$J$5),'Auto Responses'!$J$5,$O26*$L26)</f>
        <v>20</v>
      </c>
      <c r="Q26" s="105">
        <f t="shared" si="1"/>
        <v>0</v>
      </c>
      <c r="R26" s="105">
        <f t="shared" si="5"/>
        <v>0</v>
      </c>
      <c r="S26" s="105">
        <f t="shared" si="2"/>
        <v>0</v>
      </c>
      <c r="T26" s="105">
        <f t="shared" si="3"/>
        <v>1</v>
      </c>
      <c r="U26" s="105">
        <f t="shared" si="6"/>
        <v>2</v>
      </c>
      <c r="V26" s="105">
        <f t="shared" si="4"/>
        <v>2</v>
      </c>
    </row>
    <row r="27" spans="1:22" ht="56" x14ac:dyDescent="0.3">
      <c r="A27" s="4" t="str">
        <f>Questions!$A27</f>
        <v>DOCU-03</v>
      </c>
      <c r="B27" s="4" t="str">
        <f t="shared" si="0"/>
        <v>DOCU</v>
      </c>
      <c r="C27" s="4" t="str">
        <f>VLOOKUP($A27,Questions!$A$3:$L$333,2,0)&amp;""</f>
        <v>Have you undergone a SSAE 18/SOC 2 audit?</v>
      </c>
      <c r="D27" s="4" t="str">
        <f>VLOOKUP($A27,Questions!$A$3:$L$333,11,0)&amp;""</f>
        <v/>
      </c>
      <c r="E27" s="4" t="str">
        <f>VLOOKUP($A27,Questions!$A$3:$L$333,12,0)&amp;""</f>
        <v>Organization</v>
      </c>
      <c r="F27" s="4" t="str">
        <f>VLOOKUP($A27,'Institution Evaluation'!$A$56:$K$345,3,0)&amp;""</f>
        <v>Yes</v>
      </c>
      <c r="G27" s="4" t="str">
        <f>VLOOKUP($A27,'Institution Evaluation'!$A$56:$K$345,7,0)&amp;""</f>
        <v>Yes</v>
      </c>
      <c r="H27" s="4" t="str">
        <f>VLOOKUP($A27,'Institution Evaluation'!$A$56:$K$345,8,0)&amp;""</f>
        <v/>
      </c>
      <c r="I27" s="4" t="str">
        <f>VLOOKUP($A27,'Institution Evaluation'!$A$56:$K$345,9,0)&amp;""</f>
        <v>Standard Importance</v>
      </c>
      <c r="J27" s="4" t="str">
        <f>VLOOKUP($A27,'Institution Evaluation'!$A$56:$K$345,10,0)&amp;""</f>
        <v/>
      </c>
      <c r="K27" s="4">
        <f>IF($I27='Auto Responses'!$J$11,20,IF($I27='Auto Responses'!$J$13,5,10))</f>
        <v>10</v>
      </c>
      <c r="L27" s="105">
        <f>IF($E27='Auto Responses'!$L$13, 'Auto Responses'!$J$5,IF(AND($D27='Auto Responses'!$J$27,$H27=""),'Auto Responses'!$J$5,IF(AND($D27='Auto Responses'!$J$27,$H27='Auto Responses'!$J$7),1,IF(AND($D27='Auto Responses'!$J$27,$H27='Auto Responses'!$J$8),0,IF(OR(AND($F27=$G27,$H27=""),$H27='Auto Responses'!$J$7),1,0)))))</f>
        <v>1</v>
      </c>
      <c r="M27" s="4" t="str">
        <f>VLOOKUP($A27,'Institution Evaluation'!$A$56:$K$345,11,0)&amp;""</f>
        <v>FALSE</v>
      </c>
      <c r="N27" s="4">
        <f>IF($J27='Auto Responses'!$J$11,1,IF(AND($J27="",$I27='Auto Responses'!$J$11),1,0))</f>
        <v>0</v>
      </c>
      <c r="O27" s="105">
        <f>IF(OR($E27='Auto Responses'!$L$13,$F27='Auto Responses'!$J$5),'Auto Responses'!$J$5,IF($J27="",$K27,IF($J27='Auto Responses'!$J$13,5,IF($J27='Auto Responses'!$J$12,10,IF($J27='Auto Responses'!$J$11,20,0)))))</f>
        <v>10</v>
      </c>
      <c r="P27" s="105">
        <f>IF(OR($O27='Auto Responses'!$J$5,$L27='Auto Responses'!$J$5),'Auto Responses'!$J$5,$O27*$L27)</f>
        <v>10</v>
      </c>
      <c r="Q27" s="105">
        <f t="shared" si="1"/>
        <v>0</v>
      </c>
      <c r="R27" s="105">
        <f t="shared" si="5"/>
        <v>0</v>
      </c>
      <c r="S27" s="105">
        <f t="shared" si="2"/>
        <v>0</v>
      </c>
      <c r="T27" s="105">
        <f t="shared" si="3"/>
        <v>0</v>
      </c>
      <c r="U27" s="105">
        <f t="shared" si="6"/>
        <v>2</v>
      </c>
      <c r="V27" s="105">
        <f t="shared" si="4"/>
        <v>0</v>
      </c>
    </row>
    <row r="28" spans="1:22" ht="56" x14ac:dyDescent="0.3">
      <c r="A28" s="4" t="str">
        <f>Questions!$A28</f>
        <v>DOCU-04</v>
      </c>
      <c r="B28" s="4" t="str">
        <f t="shared" si="0"/>
        <v>DOCU</v>
      </c>
      <c r="C28" s="4" t="str">
        <f>VLOOKUP($A28,Questions!$A$3:$L$333,2,0)&amp;""</f>
        <v>Do you conform with a specific industry standard security framework (e.g., NIST Cybersecurity Framework, CIS Controls, ISO 27001, etc.)?</v>
      </c>
      <c r="D28" s="4" t="str">
        <f>VLOOKUP($A28,Questions!$A$3:$L$333,11,0)&amp;""</f>
        <v/>
      </c>
      <c r="E28" s="4" t="str">
        <f>VLOOKUP($A28,Questions!$A$3:$L$333,12,0)&amp;""</f>
        <v>Organization</v>
      </c>
      <c r="F28" s="4" t="str">
        <f>VLOOKUP($A28,'Institution Evaluation'!$A$56:$K$345,3,0)&amp;""</f>
        <v>Yes</v>
      </c>
      <c r="G28" s="4" t="str">
        <f>VLOOKUP($A28,'Institution Evaluation'!$A$56:$K$345,7,0)&amp;""</f>
        <v>Yes</v>
      </c>
      <c r="H28" s="4" t="str">
        <f>VLOOKUP($A28,'Institution Evaluation'!$A$56:$K$345,8,0)&amp;""</f>
        <v/>
      </c>
      <c r="I28" s="4" t="str">
        <f>VLOOKUP($A28,'Institution Evaluation'!$A$56:$K$345,9,0)&amp;""</f>
        <v>Standard Importance</v>
      </c>
      <c r="J28" s="4" t="str">
        <f>VLOOKUP($A28,'Institution Evaluation'!$A$56:$K$345,10,0)&amp;""</f>
        <v/>
      </c>
      <c r="K28" s="4">
        <f>IF($I28='Auto Responses'!$J$11,20,IF($I28='Auto Responses'!$J$13,5,10))</f>
        <v>10</v>
      </c>
      <c r="L28" s="105">
        <f>IF($E28='Auto Responses'!$L$13, 'Auto Responses'!$J$5,IF(AND($D28='Auto Responses'!$J$27,$H28=""),'Auto Responses'!$J$5,IF(AND($D28='Auto Responses'!$J$27,$H28='Auto Responses'!$J$7),1,IF(AND($D28='Auto Responses'!$J$27,$H28='Auto Responses'!$J$8),0,IF(OR(AND($F28=$G28,$H28=""),$H28='Auto Responses'!$J$7),1,0)))))</f>
        <v>1</v>
      </c>
      <c r="M28" s="4" t="str">
        <f>VLOOKUP($A28,'Institution Evaluation'!$A$56:$K$345,11,0)&amp;""</f>
        <v>FALSE</v>
      </c>
      <c r="N28" s="4">
        <f>IF($J28='Auto Responses'!$J$11,1,IF(AND($J28="",$I28='Auto Responses'!$J$11),1,0))</f>
        <v>0</v>
      </c>
      <c r="O28" s="105">
        <f>IF(OR($E28='Auto Responses'!$L$13,$F28='Auto Responses'!$J$5),'Auto Responses'!$J$5,IF($J28="",$K28,IF($J28='Auto Responses'!$J$13,5,IF($J28='Auto Responses'!$J$12,10,IF($J28='Auto Responses'!$J$11,20,0)))))</f>
        <v>10</v>
      </c>
      <c r="P28" s="105">
        <f>IF(OR($O28='Auto Responses'!$J$5,$L28='Auto Responses'!$J$5),'Auto Responses'!$J$5,$O28*$L28)</f>
        <v>10</v>
      </c>
      <c r="Q28" s="105">
        <f t="shared" si="1"/>
        <v>0</v>
      </c>
      <c r="R28" s="105">
        <f t="shared" si="5"/>
        <v>0</v>
      </c>
      <c r="S28" s="105">
        <f t="shared" si="2"/>
        <v>0</v>
      </c>
      <c r="T28" s="105">
        <f t="shared" si="3"/>
        <v>0</v>
      </c>
      <c r="U28" s="105">
        <f t="shared" si="6"/>
        <v>2</v>
      </c>
      <c r="V28" s="105">
        <f t="shared" si="4"/>
        <v>0</v>
      </c>
    </row>
    <row r="29" spans="1:22" ht="56" x14ac:dyDescent="0.3">
      <c r="A29" s="4" t="str">
        <f>Questions!$A29</f>
        <v>DOCU-05</v>
      </c>
      <c r="B29" s="4" t="str">
        <f t="shared" si="0"/>
        <v>DOCU</v>
      </c>
      <c r="C29" s="4" t="str">
        <f>VLOOKUP($A29,Questions!$A$3:$L$333,2,0)&amp;""</f>
        <v>Can you provide overall system and/or application architecture diagrams, including a full description of the data flow for all components of the system?</v>
      </c>
      <c r="D29" s="4" t="str">
        <f>VLOOKUP($A29,Questions!$A$3:$L$333,11,0)&amp;""</f>
        <v/>
      </c>
      <c r="E29" s="4" t="str">
        <f>VLOOKUP($A29,Questions!$A$3:$L$333,12,0)&amp;""</f>
        <v>Organization</v>
      </c>
      <c r="F29" s="4" t="str">
        <f>VLOOKUP($A29,'Institution Evaluation'!$A$56:$K$345,3,0)&amp;""</f>
        <v>Yes</v>
      </c>
      <c r="G29" s="4" t="str">
        <f>VLOOKUP($A29,'Institution Evaluation'!$A$56:$K$345,7,0)&amp;""</f>
        <v>Yes</v>
      </c>
      <c r="H29" s="4" t="str">
        <f>VLOOKUP($A29,'Institution Evaluation'!$A$56:$K$345,8,0)&amp;""</f>
        <v/>
      </c>
      <c r="I29" s="4" t="str">
        <f>VLOOKUP($A29,'Institution Evaluation'!$A$56:$K$345,9,0)&amp;""</f>
        <v>Standard Importance</v>
      </c>
      <c r="J29" s="4" t="str">
        <f>VLOOKUP($A29,'Institution Evaluation'!$A$56:$K$345,10,0)&amp;""</f>
        <v/>
      </c>
      <c r="K29" s="4">
        <f>IF($I29='Auto Responses'!$J$11,20,IF($I29='Auto Responses'!$J$13,5,10))</f>
        <v>10</v>
      </c>
      <c r="L29" s="105">
        <f>IF($E29='Auto Responses'!$L$13, 'Auto Responses'!$J$5,IF(AND($D29='Auto Responses'!$J$27,$H29=""),'Auto Responses'!$J$5,IF(AND($D29='Auto Responses'!$J$27,$H29='Auto Responses'!$J$7),1,IF(AND($D29='Auto Responses'!$J$27,$H29='Auto Responses'!$J$8),0,IF(OR(AND($F29=$G29,$H29=""),$H29='Auto Responses'!$J$7),1,0)))))</f>
        <v>1</v>
      </c>
      <c r="M29" s="4" t="str">
        <f>VLOOKUP($A29,'Institution Evaluation'!$A$56:$K$345,11,0)&amp;""</f>
        <v>FALSE</v>
      </c>
      <c r="N29" s="4">
        <f>IF($J29='Auto Responses'!$J$11,1,IF(AND($J29="",$I29='Auto Responses'!$J$11),1,0))</f>
        <v>0</v>
      </c>
      <c r="O29" s="105">
        <f>IF(OR($E29='Auto Responses'!$L$13,$F29='Auto Responses'!$J$5),'Auto Responses'!$J$5,IF($J29="",$K29,IF($J29='Auto Responses'!$J$13,5,IF($J29='Auto Responses'!$J$12,10,IF($J29='Auto Responses'!$J$11,20,0)))))</f>
        <v>10</v>
      </c>
      <c r="P29" s="105">
        <f>IF(OR($O29='Auto Responses'!$J$5,$L29='Auto Responses'!$J$5),'Auto Responses'!$J$5,$O29*$L29)</f>
        <v>10</v>
      </c>
      <c r="Q29" s="105">
        <f t="shared" si="1"/>
        <v>0</v>
      </c>
      <c r="R29" s="105">
        <f t="shared" si="5"/>
        <v>0</v>
      </c>
      <c r="S29" s="105">
        <f t="shared" si="2"/>
        <v>0</v>
      </c>
      <c r="T29" s="105">
        <f t="shared" si="3"/>
        <v>0</v>
      </c>
      <c r="U29" s="105">
        <f t="shared" si="6"/>
        <v>2</v>
      </c>
      <c r="V29" s="105">
        <f t="shared" si="4"/>
        <v>0</v>
      </c>
    </row>
    <row r="30" spans="1:22" ht="56" x14ac:dyDescent="0.3">
      <c r="A30" s="4" t="str">
        <f>Questions!$A30</f>
        <v>DOCU-06</v>
      </c>
      <c r="B30" s="4" t="str">
        <f t="shared" si="0"/>
        <v>DOCU</v>
      </c>
      <c r="C30" s="4" t="str">
        <f>VLOOKUP($A30,Questions!$A$3:$L$333,2,0)&amp;""</f>
        <v>Does your organization have a data privacy policy?</v>
      </c>
      <c r="D30" s="4" t="str">
        <f>VLOOKUP($A30,Questions!$A$3:$L$333,11,0)&amp;""</f>
        <v/>
      </c>
      <c r="E30" s="4" t="str">
        <f>VLOOKUP($A30,Questions!$A$3:$L$333,12,0)&amp;""</f>
        <v>Organization</v>
      </c>
      <c r="F30" s="4" t="str">
        <f>VLOOKUP($A30,'Institution Evaluation'!$A$56:$K$345,3,0)&amp;""</f>
        <v>Yes</v>
      </c>
      <c r="G30" s="4" t="str">
        <f>VLOOKUP($A30,'Institution Evaluation'!$A$56:$K$345,7,0)&amp;""</f>
        <v>Yes</v>
      </c>
      <c r="H30" s="4" t="str">
        <f>VLOOKUP($A30,'Institution Evaluation'!$A$56:$K$345,8,0)&amp;""</f>
        <v/>
      </c>
      <c r="I30" s="4" t="str">
        <f>VLOOKUP($A30,'Institution Evaluation'!$A$56:$K$345,9,0)&amp;""</f>
        <v>Standard Importance</v>
      </c>
      <c r="J30" s="4" t="str">
        <f>VLOOKUP($A30,'Institution Evaluation'!$A$56:$K$345,10,0)&amp;""</f>
        <v/>
      </c>
      <c r="K30" s="4">
        <f>IF($I30='Auto Responses'!$J$11,20,IF($I30='Auto Responses'!$J$13,5,10))</f>
        <v>10</v>
      </c>
      <c r="L30" s="105">
        <f>IF($E30='Auto Responses'!$L$13, 'Auto Responses'!$J$5,IF(AND($D30='Auto Responses'!$J$27,$H30=""),'Auto Responses'!$J$5,IF(AND($D30='Auto Responses'!$J$27,$H30='Auto Responses'!$J$7),1,IF(AND($D30='Auto Responses'!$J$27,$H30='Auto Responses'!$J$8),0,IF(OR(AND($F30=$G30,$H30=""),$H30='Auto Responses'!$J$7),1,0)))))</f>
        <v>1</v>
      </c>
      <c r="M30" s="4" t="str">
        <f>VLOOKUP($A30,'Institution Evaluation'!$A$56:$K$345,11,0)&amp;""</f>
        <v>FALSE</v>
      </c>
      <c r="N30" s="4">
        <f>IF($J30='Auto Responses'!$J$11,1,IF(AND($J30="",$I30='Auto Responses'!$J$11),1,0))</f>
        <v>0</v>
      </c>
      <c r="O30" s="105">
        <f>IF(OR($E30='Auto Responses'!$L$13,$F30='Auto Responses'!$J$5),'Auto Responses'!$J$5,IF($J30="",$K30,IF($J30='Auto Responses'!$J$13,5,IF($J30='Auto Responses'!$J$12,10,IF($J30='Auto Responses'!$J$11,20,0)))))</f>
        <v>10</v>
      </c>
      <c r="P30" s="105">
        <f>IF(OR($O30='Auto Responses'!$J$5,$L30='Auto Responses'!$J$5),'Auto Responses'!$J$5,$O30*$L30)</f>
        <v>10</v>
      </c>
      <c r="Q30" s="105">
        <f t="shared" si="1"/>
        <v>0</v>
      </c>
      <c r="R30" s="105">
        <f t="shared" si="5"/>
        <v>0</v>
      </c>
      <c r="S30" s="105">
        <f t="shared" si="2"/>
        <v>0</v>
      </c>
      <c r="T30" s="105">
        <f t="shared" si="3"/>
        <v>0</v>
      </c>
      <c r="U30" s="105">
        <f t="shared" si="6"/>
        <v>2</v>
      </c>
      <c r="V30" s="105">
        <f t="shared" si="4"/>
        <v>0</v>
      </c>
    </row>
    <row r="31" spans="1:22" ht="56" x14ac:dyDescent="0.3">
      <c r="A31" s="4" t="str">
        <f>Questions!$A31</f>
        <v>DOCU-07</v>
      </c>
      <c r="B31" s="4" t="str">
        <f t="shared" si="0"/>
        <v>DOCU</v>
      </c>
      <c r="C31" s="4" t="str">
        <f>VLOOKUP($A31,Questions!$A$3:$L$333,2,0)&amp;""</f>
        <v>Do you have a documented, and currently implemented, employee onboarding and offboarding policy?</v>
      </c>
      <c r="D31" s="4" t="str">
        <f>VLOOKUP($A31,Questions!$A$3:$L$333,11,0)&amp;""</f>
        <v/>
      </c>
      <c r="E31" s="4" t="str">
        <f>VLOOKUP($A31,Questions!$A$3:$L$333,12,0)&amp;""</f>
        <v>Organization</v>
      </c>
      <c r="F31" s="4" t="str">
        <f>VLOOKUP($A31,'Institution Evaluation'!$A$56:$K$345,3,0)&amp;""</f>
        <v>Yes</v>
      </c>
      <c r="G31" s="4" t="str">
        <f>VLOOKUP($A31,'Institution Evaluation'!$A$56:$K$345,7,0)&amp;""</f>
        <v>Yes</v>
      </c>
      <c r="H31" s="4" t="str">
        <f>VLOOKUP($A31,'Institution Evaluation'!$A$56:$K$345,8,0)&amp;""</f>
        <v/>
      </c>
      <c r="I31" s="4" t="str">
        <f>VLOOKUP($A31,'Institution Evaluation'!$A$56:$K$345,9,0)&amp;""</f>
        <v>Standard Importance</v>
      </c>
      <c r="J31" s="4" t="str">
        <f>VLOOKUP($A31,'Institution Evaluation'!$A$56:$K$345,10,0)&amp;""</f>
        <v/>
      </c>
      <c r="K31" s="4">
        <f>IF($I31='Auto Responses'!$J$11,20,IF($I31='Auto Responses'!$J$13,5,10))</f>
        <v>10</v>
      </c>
      <c r="L31" s="105">
        <f>IF($E31='Auto Responses'!$L$13, 'Auto Responses'!$J$5,IF(AND($D31='Auto Responses'!$J$27,$H31=""),'Auto Responses'!$J$5,IF(AND($D31='Auto Responses'!$J$27,$H31='Auto Responses'!$J$7),1,IF(AND($D31='Auto Responses'!$J$27,$H31='Auto Responses'!$J$8),0,IF(OR(AND($F31=$G31,$H31=""),$H31='Auto Responses'!$J$7),1,0)))))</f>
        <v>1</v>
      </c>
      <c r="M31" s="4" t="str">
        <f>VLOOKUP($A31,'Institution Evaluation'!$A$56:$K$345,11,0)&amp;""</f>
        <v>FALSE</v>
      </c>
      <c r="N31" s="4">
        <f>IF($J31='Auto Responses'!$J$11,1,IF(AND($J31="",$I31='Auto Responses'!$J$11),1,0))</f>
        <v>0</v>
      </c>
      <c r="O31" s="105">
        <f>IF(OR($E31='Auto Responses'!$L$13,$F31='Auto Responses'!$J$5),'Auto Responses'!$J$5,IF($J31="",$K31,IF($J31='Auto Responses'!$J$13,5,IF($J31='Auto Responses'!$J$12,10,IF($J31='Auto Responses'!$J$11,20,0)))))</f>
        <v>10</v>
      </c>
      <c r="P31" s="105">
        <f>IF(OR($O31='Auto Responses'!$J$5,$L31='Auto Responses'!$J$5),'Auto Responses'!$J$5,$O31*$L31)</f>
        <v>10</v>
      </c>
      <c r="Q31" s="105">
        <f t="shared" si="1"/>
        <v>0</v>
      </c>
      <c r="R31" s="105">
        <f t="shared" si="5"/>
        <v>0</v>
      </c>
      <c r="S31" s="105">
        <f t="shared" si="2"/>
        <v>0</v>
      </c>
      <c r="T31" s="105">
        <f t="shared" si="3"/>
        <v>0</v>
      </c>
      <c r="U31" s="105">
        <f t="shared" si="6"/>
        <v>2</v>
      </c>
      <c r="V31" s="105">
        <f t="shared" si="4"/>
        <v>0</v>
      </c>
    </row>
    <row r="32" spans="1:22" ht="56" x14ac:dyDescent="0.3">
      <c r="A32" s="4" t="str">
        <f>Questions!$A32</f>
        <v>ITAC-01</v>
      </c>
      <c r="B32" s="4" t="str">
        <f t="shared" si="0"/>
        <v>ITAC</v>
      </c>
      <c r="C32" s="4" t="str">
        <f>VLOOKUP($A32,Questions!$A$3:$L$333,2,0)&amp;""</f>
        <v>Solution Provider Accessibility Contact Name</v>
      </c>
      <c r="D32" s="4" t="str">
        <f>VLOOKUP($A32,Questions!$A$3:$L$333,11,0)&amp;""</f>
        <v>NA</v>
      </c>
      <c r="E32" s="4" t="str">
        <f>VLOOKUP($A32,Questions!$A$3:$L$333,12,0)&amp;""</f>
        <v>Not Scored</v>
      </c>
      <c r="F32" s="4" t="str">
        <f>VLOOKUP($A32,'Institution Evaluation'!$A$56:$K$345,3,0)&amp;""</f>
        <v>Product Management</v>
      </c>
      <c r="G32" s="4" t="str">
        <f>VLOOKUP($A32,'Institution Evaluation'!$A$56:$K$345,7,0)&amp;""</f>
        <v>Not scored</v>
      </c>
      <c r="H32" s="4" t="str">
        <f>VLOOKUP($A32,'Institution Evaluation'!$A$56:$K$345,8,0)&amp;""</f>
        <v/>
      </c>
      <c r="I32" s="4" t="str">
        <f>VLOOKUP($A32,'Institution Evaluation'!$A$56:$K$345,9,0)&amp;""</f>
        <v/>
      </c>
      <c r="J32" s="4" t="str">
        <f>VLOOKUP($A32,'Institution Evaluation'!$A$56:$K$345,10,0)&amp;""</f>
        <v/>
      </c>
      <c r="K32" s="4">
        <f>IF($I32='Auto Responses'!$J$11,20,IF($I32='Auto Responses'!$J$13,5,10))</f>
        <v>10</v>
      </c>
      <c r="L32" s="105" t="str">
        <f>IF($E32='Auto Responses'!$L$13, 'Auto Responses'!$J$5,IF(AND($D32='Auto Responses'!$J$27,$H32=""),'Auto Responses'!$J$5,IF(AND($D32='Auto Responses'!$J$27,$H32='Auto Responses'!$J$7),1,IF(AND($D32='Auto Responses'!$J$27,$H32='Auto Responses'!$J$8),0,IF(OR(AND($F32=$G32,$H32=""),$H32='Auto Responses'!$J$7),1,0)))))</f>
        <v>N/A</v>
      </c>
      <c r="M32" s="4" t="str">
        <f>VLOOKUP($A32,'Institution Evaluation'!$A$56:$K$345,11,0)&amp;""</f>
        <v>FALSE</v>
      </c>
      <c r="N32" s="4">
        <f>IF($J32='Auto Responses'!$J$11,1,IF(AND($J32="",$I32='Auto Responses'!$J$11),1,0))</f>
        <v>0</v>
      </c>
      <c r="O32" s="105" t="str">
        <f>IF(OR($F$18='Auto Responses'!$J$4,$E32='Auto Responses'!$L$13,$F32='Auto Responses'!$J$5),'Auto Responses'!$J$5,IF($J32="",$K32,IF($J32='Auto Responses'!$J$13,5,IF($J32='Auto Responses'!$J$12,10,IF($J32='Auto Responses'!$J$11,20,0)))))</f>
        <v>N/A</v>
      </c>
      <c r="P32" s="105" t="str">
        <f>IF(OR($O32='Auto Responses'!$J$5,$L32='Auto Responses'!$J$5),'Auto Responses'!$J$5,$O32*$L32)</f>
        <v>N/A</v>
      </c>
      <c r="Q32" s="105">
        <f t="shared" si="1"/>
        <v>0</v>
      </c>
      <c r="R32" s="105">
        <f t="shared" si="5"/>
        <v>0</v>
      </c>
      <c r="S32" s="105">
        <f t="shared" si="2"/>
        <v>0</v>
      </c>
      <c r="T32" s="105">
        <f t="shared" si="3"/>
        <v>0</v>
      </c>
      <c r="U32" s="105">
        <f t="shared" si="6"/>
        <v>2</v>
      </c>
      <c r="V32" s="105">
        <f t="shared" si="4"/>
        <v>0</v>
      </c>
    </row>
    <row r="33" spans="1:22" ht="56" x14ac:dyDescent="0.3">
      <c r="A33" s="4" t="str">
        <f>Questions!$A33</f>
        <v>ITAC-02</v>
      </c>
      <c r="B33" s="4" t="str">
        <f t="shared" si="0"/>
        <v>ITAC</v>
      </c>
      <c r="C33" s="4" t="str">
        <f>VLOOKUP($A33,Questions!$A$3:$L$333,2,0)&amp;""</f>
        <v>Solution Provider Accessibility Contact Title</v>
      </c>
      <c r="D33" s="4" t="str">
        <f>VLOOKUP($A33,Questions!$A$3:$L$333,11,0)&amp;""</f>
        <v>NA</v>
      </c>
      <c r="E33" s="4" t="str">
        <f>VLOOKUP($A33,Questions!$A$3:$L$333,12,0)&amp;""</f>
        <v>Not Scored</v>
      </c>
      <c r="F33" s="4" t="str">
        <f>VLOOKUP($A33,'Institution Evaluation'!$A$56:$K$345,3,0)&amp;""</f>
        <v>Product Management</v>
      </c>
      <c r="G33" s="4" t="str">
        <f>VLOOKUP($A33,'Institution Evaluation'!$A$56:$K$345,7,0)&amp;""</f>
        <v>Not scored</v>
      </c>
      <c r="H33" s="4" t="str">
        <f>VLOOKUP($A33,'Institution Evaluation'!$A$56:$K$345,8,0)&amp;""</f>
        <v/>
      </c>
      <c r="I33" s="4" t="str">
        <f>VLOOKUP($A33,'Institution Evaluation'!$A$56:$K$345,9,0)&amp;""</f>
        <v/>
      </c>
      <c r="J33" s="4" t="str">
        <f>VLOOKUP($A33,'Institution Evaluation'!$A$56:$K$345,10,0)&amp;""</f>
        <v/>
      </c>
      <c r="K33" s="4">
        <f>IF($I33='Auto Responses'!$J$11,20,IF($I33='Auto Responses'!$J$13,5,10))</f>
        <v>10</v>
      </c>
      <c r="L33" s="105" t="str">
        <f>IF($E33='Auto Responses'!$L$13, 'Auto Responses'!$J$5,IF(AND($D33='Auto Responses'!$J$27,$H33=""),'Auto Responses'!$J$5,IF(AND($D33='Auto Responses'!$J$27,$H33='Auto Responses'!$J$7),1,IF(AND($D33='Auto Responses'!$J$27,$H33='Auto Responses'!$J$8),0,IF(OR(AND($F33=$G33,$H33=""),$H33='Auto Responses'!$J$7),1,0)))))</f>
        <v>N/A</v>
      </c>
      <c r="M33" s="4" t="str">
        <f>VLOOKUP($A33,'Institution Evaluation'!$A$56:$K$345,11,0)&amp;""</f>
        <v>FALSE</v>
      </c>
      <c r="N33" s="4">
        <f>IF($J33='Auto Responses'!$J$11,1,IF(AND($J33="",$I33='Auto Responses'!$J$11),1,0))</f>
        <v>0</v>
      </c>
      <c r="O33" s="105" t="str">
        <f>IF(OR($F$18='Auto Responses'!$J$4,$E33='Auto Responses'!$L$13,$F33='Auto Responses'!$J$5),'Auto Responses'!$J$5,IF($J33="",$K33,IF($J33='Auto Responses'!$J$13,5,IF($J33='Auto Responses'!$J$12,10,IF($J33='Auto Responses'!$J$11,20,0)))))</f>
        <v>N/A</v>
      </c>
      <c r="P33" s="105" t="str">
        <f>IF(OR($O33='Auto Responses'!$J$5,$L33='Auto Responses'!$J$5),'Auto Responses'!$J$5,$O33*$L33)</f>
        <v>N/A</v>
      </c>
      <c r="Q33" s="105">
        <f t="shared" si="1"/>
        <v>0</v>
      </c>
      <c r="R33" s="105">
        <f t="shared" si="5"/>
        <v>0</v>
      </c>
      <c r="S33" s="105">
        <f t="shared" si="2"/>
        <v>0</v>
      </c>
      <c r="T33" s="105">
        <f t="shared" si="3"/>
        <v>0</v>
      </c>
      <c r="U33" s="105">
        <f t="shared" si="6"/>
        <v>2</v>
      </c>
      <c r="V33" s="105">
        <f t="shared" si="4"/>
        <v>0</v>
      </c>
    </row>
    <row r="34" spans="1:22" ht="56" x14ac:dyDescent="0.3">
      <c r="A34" s="4" t="str">
        <f>Questions!$A34</f>
        <v>ITAC-03</v>
      </c>
      <c r="B34" s="4" t="str">
        <f t="shared" si="0"/>
        <v>ITAC</v>
      </c>
      <c r="C34" s="4" t="str">
        <f>VLOOKUP($A34,Questions!$A$3:$L$333,2,0)&amp;""</f>
        <v>Solution Provider Accessibility Contact Email</v>
      </c>
      <c r="D34" s="4" t="str">
        <f>VLOOKUP($A34,Questions!$A$3:$L$333,11,0)&amp;""</f>
        <v>NA</v>
      </c>
      <c r="E34" s="4" t="str">
        <f>VLOOKUP($A34,Questions!$A$3:$L$333,12,0)&amp;""</f>
        <v>Not Scored</v>
      </c>
      <c r="F34" s="4" t="str">
        <f>VLOOKUP($A34,'Institution Evaluation'!$A$56:$K$345,3,0)&amp;""</f>
        <v>accessibility@preservica.com</v>
      </c>
      <c r="G34" s="4" t="str">
        <f>VLOOKUP($A34,'Institution Evaluation'!$A$56:$K$345,7,0)&amp;""</f>
        <v>Not scored</v>
      </c>
      <c r="H34" s="4" t="str">
        <f>VLOOKUP($A34,'Institution Evaluation'!$A$56:$K$345,8,0)&amp;""</f>
        <v/>
      </c>
      <c r="I34" s="4" t="str">
        <f>VLOOKUP($A34,'Institution Evaluation'!$A$56:$K$345,9,0)&amp;""</f>
        <v/>
      </c>
      <c r="J34" s="4" t="str">
        <f>VLOOKUP($A34,'Institution Evaluation'!$A$56:$K$345,10,0)&amp;""</f>
        <v/>
      </c>
      <c r="K34" s="4">
        <f>IF($I34='Auto Responses'!$J$11,20,IF($I34='Auto Responses'!$J$13,5,10))</f>
        <v>10</v>
      </c>
      <c r="L34" s="105" t="str">
        <f>IF($E34='Auto Responses'!$L$13, 'Auto Responses'!$J$5,IF(AND($D34='Auto Responses'!$J$27,$H34=""),'Auto Responses'!$J$5,IF(AND($D34='Auto Responses'!$J$27,$H34='Auto Responses'!$J$7),1,IF(AND($D34='Auto Responses'!$J$27,$H34='Auto Responses'!$J$8),0,IF(OR(AND($F34=$G34,$H34=""),$H34='Auto Responses'!$J$7),1,0)))))</f>
        <v>N/A</v>
      </c>
      <c r="M34" s="4" t="str">
        <f>VLOOKUP($A34,'Institution Evaluation'!$A$56:$K$345,11,0)&amp;""</f>
        <v>FALSE</v>
      </c>
      <c r="N34" s="4">
        <f>IF($J34='Auto Responses'!$J$11,1,IF(AND($J34="",$I34='Auto Responses'!$J$11),1,0))</f>
        <v>0</v>
      </c>
      <c r="O34" s="105" t="str">
        <f>IF(OR($F$18='Auto Responses'!$J$4,$E34='Auto Responses'!$L$13,$F34='Auto Responses'!$J$5),'Auto Responses'!$J$5,IF($J34="",$K34,IF($J34='Auto Responses'!$J$13,5,IF($J34='Auto Responses'!$J$12,10,IF($J34='Auto Responses'!$J$11,20,0)))))</f>
        <v>N/A</v>
      </c>
      <c r="P34" s="105" t="str">
        <f>IF(OR($O34='Auto Responses'!$J$5,$L34='Auto Responses'!$J$5),'Auto Responses'!$J$5,$O34*$L34)</f>
        <v>N/A</v>
      </c>
      <c r="Q34" s="105">
        <f t="shared" si="1"/>
        <v>0</v>
      </c>
      <c r="R34" s="105">
        <f t="shared" si="5"/>
        <v>0</v>
      </c>
      <c r="S34" s="105">
        <f t="shared" si="2"/>
        <v>0</v>
      </c>
      <c r="T34" s="105">
        <f t="shared" si="3"/>
        <v>0</v>
      </c>
      <c r="U34" s="105">
        <f t="shared" si="6"/>
        <v>2</v>
      </c>
      <c r="V34" s="105">
        <f t="shared" si="4"/>
        <v>0</v>
      </c>
    </row>
    <row r="35" spans="1:22" ht="56" x14ac:dyDescent="0.3">
      <c r="A35" s="4" t="str">
        <f>Questions!$A35</f>
        <v>ITAC-04</v>
      </c>
      <c r="B35" s="4" t="str">
        <f t="shared" si="0"/>
        <v>ITAC</v>
      </c>
      <c r="C35" s="4" t="str">
        <f>VLOOKUP($A35,Questions!$A$3:$L$333,2,0)&amp;""</f>
        <v>Solution Provider Accessibility Contact Phone Number</v>
      </c>
      <c r="D35" s="4" t="str">
        <f>VLOOKUP($A35,Questions!$A$3:$L$333,11,0)&amp;""</f>
        <v>NA</v>
      </c>
      <c r="E35" s="4" t="str">
        <f>VLOOKUP($A35,Questions!$A$3:$L$333,12,0)&amp;""</f>
        <v>Not Scored</v>
      </c>
      <c r="F35" s="4" t="str">
        <f>VLOOKUP($A35,'Institution Evaluation'!$A$56:$K$345,3,0)&amp;""</f>
        <v>N/A</v>
      </c>
      <c r="G35" s="4" t="str">
        <f>VLOOKUP($A35,'Institution Evaluation'!$A$56:$K$345,7,0)&amp;""</f>
        <v>Not scored</v>
      </c>
      <c r="H35" s="4" t="str">
        <f>VLOOKUP($A35,'Institution Evaluation'!$A$56:$K$345,8,0)&amp;""</f>
        <v/>
      </c>
      <c r="I35" s="4" t="str">
        <f>VLOOKUP($A35,'Institution Evaluation'!$A$56:$K$345,9,0)&amp;""</f>
        <v/>
      </c>
      <c r="J35" s="4" t="str">
        <f>VLOOKUP($A35,'Institution Evaluation'!$A$56:$K$345,10,0)&amp;""</f>
        <v/>
      </c>
      <c r="K35" s="4">
        <f>IF($I35='Auto Responses'!$J$11,20,IF($I35='Auto Responses'!$J$13,5,10))</f>
        <v>10</v>
      </c>
      <c r="L35" s="105" t="str">
        <f>IF($E35='Auto Responses'!$L$13, 'Auto Responses'!$J$5,IF(AND($D35='Auto Responses'!$J$27,$H35=""),'Auto Responses'!$J$5,IF(AND($D35='Auto Responses'!$J$27,$H35='Auto Responses'!$J$7),1,IF(AND($D35='Auto Responses'!$J$27,$H35='Auto Responses'!$J$8),0,IF(OR(AND($F35=$G35,$H35=""),$H35='Auto Responses'!$J$7),1,0)))))</f>
        <v>N/A</v>
      </c>
      <c r="M35" s="4" t="str">
        <f>VLOOKUP($A35,'Institution Evaluation'!$A$56:$K$345,11,0)&amp;""</f>
        <v>FALSE</v>
      </c>
      <c r="N35" s="4">
        <f>IF($J35='Auto Responses'!$J$11,1,IF(AND($J35="",$I35='Auto Responses'!$J$11),1,0))</f>
        <v>0</v>
      </c>
      <c r="O35" s="105" t="str">
        <f>IF(OR($F$18='Auto Responses'!$J$4,$E35='Auto Responses'!$L$13,$F35='Auto Responses'!$J$5),'Auto Responses'!$J$5,IF($J35="",$K35,IF($J35='Auto Responses'!$J$13,5,IF($J35='Auto Responses'!$J$12,10,IF($J35='Auto Responses'!$J$11,20,0)))))</f>
        <v>N/A</v>
      </c>
      <c r="P35" s="105" t="str">
        <f>IF(OR($O35='Auto Responses'!$J$5,$L35='Auto Responses'!$J$5),'Auto Responses'!$J$5,$O35*$L35)</f>
        <v>N/A</v>
      </c>
      <c r="Q35" s="105">
        <f t="shared" si="1"/>
        <v>0</v>
      </c>
      <c r="R35" s="105">
        <f t="shared" si="5"/>
        <v>0</v>
      </c>
      <c r="S35" s="105">
        <f t="shared" si="2"/>
        <v>0</v>
      </c>
      <c r="T35" s="105">
        <f t="shared" si="3"/>
        <v>0</v>
      </c>
      <c r="U35" s="105">
        <f t="shared" si="6"/>
        <v>2</v>
      </c>
      <c r="V35" s="105">
        <f t="shared" si="4"/>
        <v>0</v>
      </c>
    </row>
    <row r="36" spans="1:22" ht="126" x14ac:dyDescent="0.3">
      <c r="A36" s="4" t="str">
        <f>Questions!$A36</f>
        <v>ITAC-05</v>
      </c>
      <c r="B36" s="4" t="str">
        <f t="shared" si="0"/>
        <v>ITAC</v>
      </c>
      <c r="C36" s="4" t="str">
        <f>VLOOKUP($A36,Questions!$A$3:$L$333,2,0)&amp;""</f>
        <v>Web Link to Accessibility Statement or VPAT</v>
      </c>
      <c r="D36" s="4" t="str">
        <f>VLOOKUP($A36,Questions!$A$3:$L$333,11,0)&amp;""</f>
        <v/>
      </c>
      <c r="E36" s="4" t="str">
        <f>VLOOKUP($A36,Questions!$A$3:$L$333,12,0)&amp;""</f>
        <v>Not Scored</v>
      </c>
      <c r="F36" s="4" t="str">
        <f>VLOOKUP($A36,'Institution Evaluation'!$A$56:$K$345,3,0)&amp;""</f>
        <v>Preservica's accessibility statement and current VPAT are published at Preservica's Trust Center: https://preservica.com/trust-center</v>
      </c>
      <c r="G36" s="4" t="str">
        <f>VLOOKUP($A36,'Institution Evaluation'!$A$56:$K$345,7,0)&amp;""</f>
        <v>Not scored</v>
      </c>
      <c r="H36" s="4" t="str">
        <f>VLOOKUP($A36,'Institution Evaluation'!$A$56:$K$345,8,0)&amp;""</f>
        <v/>
      </c>
      <c r="I36" s="4" t="str">
        <f>VLOOKUP($A36,'Institution Evaluation'!$A$56:$K$345,9,0)&amp;""</f>
        <v/>
      </c>
      <c r="J36" s="4" t="str">
        <f>VLOOKUP($A36,'Institution Evaluation'!$A$56:$K$345,10,0)&amp;""</f>
        <v/>
      </c>
      <c r="K36" s="4">
        <f>IF($I36='Auto Responses'!$J$11,20,IF($I36='Auto Responses'!$J$13,5,10))</f>
        <v>10</v>
      </c>
      <c r="L36" s="105" t="str">
        <f>IF($E36='Auto Responses'!$L$13, 'Auto Responses'!$J$5,IF(AND($D36='Auto Responses'!$J$27,$H36=""),'Auto Responses'!$J$5,IF(AND($D36='Auto Responses'!$J$27,$H36='Auto Responses'!$J$7),1,IF(AND($D36='Auto Responses'!$J$27,$H36='Auto Responses'!$J$8),0,IF(OR(AND($F36=$G36,$H36=""),$H36='Auto Responses'!$J$7),1,0)))))</f>
        <v>N/A</v>
      </c>
      <c r="M36" s="4" t="str">
        <f>VLOOKUP($A36,'Institution Evaluation'!$A$56:$K$345,11,0)&amp;""</f>
        <v>FALSE</v>
      </c>
      <c r="N36" s="4">
        <f>IF($J36='Auto Responses'!$J$11,1,IF(AND($J36="",$I36='Auto Responses'!$J$11),1,0))</f>
        <v>0</v>
      </c>
      <c r="O36" s="105" t="str">
        <f>IF(OR($F$18='Auto Responses'!$J$4,$E36='Auto Responses'!$L$13,$F36='Auto Responses'!$J$5),'Auto Responses'!$J$5,IF($J36="",$K36,IF($J36='Auto Responses'!$J$13,5,IF($J36='Auto Responses'!$J$12,10,IF($J36='Auto Responses'!$J$11,20,0)))))</f>
        <v>N/A</v>
      </c>
      <c r="P36" s="105" t="str">
        <f>IF(OR($O36='Auto Responses'!$J$5,$L36='Auto Responses'!$J$5),'Auto Responses'!$J$5,$O36*$L36)</f>
        <v>N/A</v>
      </c>
      <c r="Q36" s="105">
        <f t="shared" si="1"/>
        <v>0</v>
      </c>
      <c r="R36" s="105">
        <f t="shared" si="5"/>
        <v>0</v>
      </c>
      <c r="S36" s="105">
        <f t="shared" si="2"/>
        <v>0</v>
      </c>
      <c r="T36" s="105">
        <f t="shared" si="3"/>
        <v>0</v>
      </c>
      <c r="U36" s="105">
        <f t="shared" si="6"/>
        <v>2</v>
      </c>
      <c r="V36" s="105">
        <f t="shared" si="4"/>
        <v>0</v>
      </c>
    </row>
    <row r="37" spans="1:22" ht="56" x14ac:dyDescent="0.3">
      <c r="A37" s="4" t="str">
        <f>Questions!$A37</f>
        <v>ITAC-06</v>
      </c>
      <c r="B37" s="4" t="str">
        <f t="shared" si="0"/>
        <v>ITAC</v>
      </c>
      <c r="C37" s="4" t="str">
        <f>VLOOKUP($A37,Questions!$A$3:$L$333,2,0)&amp;""</f>
        <v>Has a VPAT or ACR been created or updated for the solution and version under consideration within the past 12 months?*</v>
      </c>
      <c r="D37" s="4" t="str">
        <f>VLOOKUP($A37,Questions!$A$3:$L$333,11,0)&amp;""</f>
        <v/>
      </c>
      <c r="E37" s="4" t="str">
        <f>VLOOKUP($A37,Questions!$A$3:$L$333,12,0)&amp;""</f>
        <v>IT Accessibility</v>
      </c>
      <c r="F37" s="4" t="str">
        <f>VLOOKUP($A37,'Institution Evaluation'!$A$56:$K$345,3,0)&amp;""</f>
        <v>Yes</v>
      </c>
      <c r="G37" s="4" t="str">
        <f>VLOOKUP($A37,'Institution Evaluation'!$A$56:$K$345,7,0)&amp;""</f>
        <v>Yes</v>
      </c>
      <c r="H37" s="4" t="str">
        <f>VLOOKUP($A37,'Institution Evaluation'!$A$56:$K$345,8,0)&amp;""</f>
        <v/>
      </c>
      <c r="I37" s="4" t="str">
        <f>VLOOKUP($A37,'Institution Evaluation'!$A$56:$K$345,9,0)&amp;""</f>
        <v>Critical Importance</v>
      </c>
      <c r="J37" s="4" t="str">
        <f>VLOOKUP($A37,'Institution Evaluation'!$A$56:$K$345,10,0)&amp;""</f>
        <v/>
      </c>
      <c r="K37" s="4">
        <f>IF($I37='Auto Responses'!$J$11,20,IF($I37='Auto Responses'!$J$13,5,10))</f>
        <v>20</v>
      </c>
      <c r="L37" s="105">
        <f>IF($E37='Auto Responses'!$L$13, 'Auto Responses'!$J$5,IF(AND($D37='Auto Responses'!$J$27,$H37=""),'Auto Responses'!$J$5,IF(AND($D37='Auto Responses'!$J$27,$H37='Auto Responses'!$J$7),1,IF(AND($D37='Auto Responses'!$J$27,$H37='Auto Responses'!$J$8),0,IF(OR(AND($F37=$G37,$H37=""),$H37='Auto Responses'!$J$7),1,0)))))</f>
        <v>1</v>
      </c>
      <c r="M37" s="4" t="str">
        <f>VLOOKUP($A37,'Institution Evaluation'!$A$56:$K$345,11,0)&amp;""</f>
        <v>FALSE</v>
      </c>
      <c r="N37" s="4">
        <f>IF($J37='Auto Responses'!$J$11,1,IF(AND($J37="",$I37='Auto Responses'!$J$11),1,0))</f>
        <v>1</v>
      </c>
      <c r="O37" s="105">
        <f>IF(OR($F$18='Auto Responses'!$J$4,$E37='Auto Responses'!$L$13,$F37='Auto Responses'!$J$5),'Auto Responses'!$J$5,IF($J37="",$K37,IF($J37='Auto Responses'!$J$13,5,IF($J37='Auto Responses'!$J$12,10,IF($J37='Auto Responses'!$J$11,20,0)))))</f>
        <v>20</v>
      </c>
      <c r="P37" s="105">
        <f>IF(OR($O37='Auto Responses'!$J$5,$L37='Auto Responses'!$J$5),'Auto Responses'!$J$5,$O37*$L37)</f>
        <v>20</v>
      </c>
      <c r="Q37" s="105">
        <f t="shared" si="1"/>
        <v>0</v>
      </c>
      <c r="R37" s="105">
        <f t="shared" si="5"/>
        <v>0</v>
      </c>
      <c r="S37" s="105">
        <f t="shared" si="2"/>
        <v>0</v>
      </c>
      <c r="T37" s="105">
        <f t="shared" si="3"/>
        <v>1</v>
      </c>
      <c r="U37" s="105">
        <f t="shared" si="6"/>
        <v>3</v>
      </c>
      <c r="V37" s="105">
        <f t="shared" si="4"/>
        <v>3</v>
      </c>
    </row>
    <row r="38" spans="1:22" ht="56" x14ac:dyDescent="0.3">
      <c r="A38" s="4" t="str">
        <f>Questions!$A38</f>
        <v>ITAC-07</v>
      </c>
      <c r="B38" s="4" t="str">
        <f t="shared" si="0"/>
        <v>ITAC</v>
      </c>
      <c r="C38" s="4" t="str">
        <f>VLOOKUP($A38,Questions!$A$3:$L$333,2,0)&amp;""</f>
        <v>Will your company agree to meet your stated accessibility standard or WCAG 2.1 AA as part of your contractual agreement for the solution?*</v>
      </c>
      <c r="D38" s="4" t="str">
        <f>VLOOKUP($A38,Questions!$A$3:$L$333,11,0)&amp;""</f>
        <v/>
      </c>
      <c r="E38" s="4" t="str">
        <f>VLOOKUP($A38,Questions!$A$3:$L$333,12,0)&amp;""</f>
        <v>IT Accessibility</v>
      </c>
      <c r="F38" s="4" t="str">
        <f>VLOOKUP($A38,'Institution Evaluation'!$A$56:$K$345,3,0)&amp;""</f>
        <v>Yes</v>
      </c>
      <c r="G38" s="4" t="str">
        <f>VLOOKUP($A38,'Institution Evaluation'!$A$56:$K$345,7,0)&amp;""</f>
        <v>Yes</v>
      </c>
      <c r="H38" s="4" t="str">
        <f>VLOOKUP($A38,'Institution Evaluation'!$A$56:$K$345,8,0)&amp;""</f>
        <v/>
      </c>
      <c r="I38" s="4" t="str">
        <f>VLOOKUP($A38,'Institution Evaluation'!$A$56:$K$345,9,0)&amp;""</f>
        <v>Critical Importance</v>
      </c>
      <c r="J38" s="4" t="str">
        <f>VLOOKUP($A38,'Institution Evaluation'!$A$56:$K$345,10,0)&amp;""</f>
        <v/>
      </c>
      <c r="K38" s="4">
        <f>IF($I38='Auto Responses'!$J$11,20,IF($I38='Auto Responses'!$J$13,5,10))</f>
        <v>20</v>
      </c>
      <c r="L38" s="105">
        <f>IF($E38='Auto Responses'!$L$13, 'Auto Responses'!$J$5,IF(AND($D38='Auto Responses'!$J$27,$H38=""),'Auto Responses'!$J$5,IF(AND($D38='Auto Responses'!$J$27,$H38='Auto Responses'!$J$7),1,IF(AND($D38='Auto Responses'!$J$27,$H38='Auto Responses'!$J$8),0,IF(OR(AND($F38=$G38,$H38=""),$H38='Auto Responses'!$J$7),1,0)))))</f>
        <v>1</v>
      </c>
      <c r="M38" s="4" t="str">
        <f>VLOOKUP($A38,'Institution Evaluation'!$A$56:$K$345,11,0)&amp;""</f>
        <v>FALSE</v>
      </c>
      <c r="N38" s="4">
        <f>IF($J38='Auto Responses'!$J$11,1,IF(AND($J38="",$I38='Auto Responses'!$J$11),1,0))</f>
        <v>1</v>
      </c>
      <c r="O38" s="105">
        <f>IF(OR($F$18='Auto Responses'!$J$4,$E38='Auto Responses'!$L$13,$F38='Auto Responses'!$J$5),'Auto Responses'!$J$5,IF($J38="",$K38,IF($J38='Auto Responses'!$J$13,5,IF($J38='Auto Responses'!$J$12,10,IF($J38='Auto Responses'!$J$11,20,0)))))</f>
        <v>20</v>
      </c>
      <c r="P38" s="105">
        <f>IF(OR($O38='Auto Responses'!$J$5,$L38='Auto Responses'!$J$5),'Auto Responses'!$J$5,$O38*$L38)</f>
        <v>20</v>
      </c>
      <c r="Q38" s="105">
        <f t="shared" si="1"/>
        <v>0</v>
      </c>
      <c r="R38" s="105">
        <f t="shared" si="5"/>
        <v>0</v>
      </c>
      <c r="S38" s="105">
        <f t="shared" si="2"/>
        <v>0</v>
      </c>
      <c r="T38" s="105">
        <f t="shared" si="3"/>
        <v>1</v>
      </c>
      <c r="U38" s="105">
        <f t="shared" si="6"/>
        <v>4</v>
      </c>
      <c r="V38" s="105">
        <f t="shared" si="4"/>
        <v>4</v>
      </c>
    </row>
    <row r="39" spans="1:22" ht="56" x14ac:dyDescent="0.3">
      <c r="A39" s="4" t="str">
        <f>Questions!$A39</f>
        <v>ITAC-08</v>
      </c>
      <c r="B39" s="4" t="str">
        <f t="shared" si="0"/>
        <v>ITAC</v>
      </c>
      <c r="C39" s="4" t="str">
        <f>VLOOKUP($A39,Questions!$A$3:$L$333,2,0)&amp;""</f>
        <v>Does the solution substantially conform to WCAG 2.1 AA?*</v>
      </c>
      <c r="D39" s="4" t="str">
        <f>VLOOKUP($A39,Questions!$A$3:$L$333,11,0)&amp;""</f>
        <v/>
      </c>
      <c r="E39" s="4" t="str">
        <f>VLOOKUP($A39,Questions!$A$3:$L$333,12,0)&amp;""</f>
        <v>IT Accessibility</v>
      </c>
      <c r="F39" s="4" t="str">
        <f>VLOOKUP($A39,'Institution Evaluation'!$A$56:$K$345,3,0)&amp;""</f>
        <v>Yes</v>
      </c>
      <c r="G39" s="4" t="str">
        <f>VLOOKUP($A39,'Institution Evaluation'!$A$56:$K$345,7,0)&amp;""</f>
        <v>Yes</v>
      </c>
      <c r="H39" s="4" t="str">
        <f>VLOOKUP($A39,'Institution Evaluation'!$A$56:$K$345,8,0)&amp;""</f>
        <v/>
      </c>
      <c r="I39" s="4" t="str">
        <f>VLOOKUP($A39,'Institution Evaluation'!$A$56:$K$345,9,0)&amp;""</f>
        <v>Critical Importance</v>
      </c>
      <c r="J39" s="4" t="str">
        <f>VLOOKUP($A39,'Institution Evaluation'!$A$56:$K$345,10,0)&amp;""</f>
        <v/>
      </c>
      <c r="K39" s="4">
        <f>IF($I39='Auto Responses'!$J$11,20,IF($I39='Auto Responses'!$J$13,5,10))</f>
        <v>20</v>
      </c>
      <c r="L39" s="105">
        <f>IF($E39='Auto Responses'!$L$13, 'Auto Responses'!$J$5,IF(AND($D39='Auto Responses'!$J$27,$H39=""),'Auto Responses'!$J$5,IF(AND($D39='Auto Responses'!$J$27,$H39='Auto Responses'!$J$7),1,IF(AND($D39='Auto Responses'!$J$27,$H39='Auto Responses'!$J$8),0,IF(OR(AND($F39=$G39,$H39=""),$H39='Auto Responses'!$J$7),1,0)))))</f>
        <v>1</v>
      </c>
      <c r="M39" s="4" t="str">
        <f>VLOOKUP($A39,'Institution Evaluation'!$A$56:$K$345,11,0)&amp;""</f>
        <v>FALSE</v>
      </c>
      <c r="N39" s="4">
        <f>IF($J39='Auto Responses'!$J$11,1,IF(AND($J39="",$I39='Auto Responses'!$J$11),1,0))</f>
        <v>1</v>
      </c>
      <c r="O39" s="105">
        <f>IF(OR($F$18='Auto Responses'!$J$4,$E39='Auto Responses'!$L$13,$F39='Auto Responses'!$J$5),'Auto Responses'!$J$5,IF($J39="",$K39,IF($J39='Auto Responses'!$J$13,5,IF($J39='Auto Responses'!$J$12,10,IF($J39='Auto Responses'!$J$11,20,0)))))</f>
        <v>20</v>
      </c>
      <c r="P39" s="105">
        <f>IF(OR($O39='Auto Responses'!$J$5,$L39='Auto Responses'!$J$5),'Auto Responses'!$J$5,$O39*$L39)</f>
        <v>20</v>
      </c>
      <c r="Q39" s="105">
        <f t="shared" si="1"/>
        <v>0</v>
      </c>
      <c r="R39" s="105">
        <f t="shared" si="5"/>
        <v>0</v>
      </c>
      <c r="S39" s="105">
        <f t="shared" si="2"/>
        <v>0</v>
      </c>
      <c r="T39" s="105">
        <f t="shared" si="3"/>
        <v>1</v>
      </c>
      <c r="U39" s="105">
        <f t="shared" si="6"/>
        <v>5</v>
      </c>
      <c r="V39" s="105">
        <f t="shared" si="4"/>
        <v>5</v>
      </c>
    </row>
    <row r="40" spans="1:22" ht="56" x14ac:dyDescent="0.3">
      <c r="A40" s="4" t="str">
        <f>Questions!$A40</f>
        <v>ITAC-09</v>
      </c>
      <c r="B40" s="4" t="str">
        <f t="shared" si="0"/>
        <v>ITAC</v>
      </c>
      <c r="C40" s="4" t="str">
        <f>VLOOKUP($A40,Questions!$A$3:$L$333,2,0)&amp;""</f>
        <v>Do you have a documented and implemented process for reporting and tracking accessibility issues?*</v>
      </c>
      <c r="D40" s="4" t="str">
        <f>VLOOKUP($A40,Questions!$A$3:$L$333,11,0)&amp;""</f>
        <v/>
      </c>
      <c r="E40" s="4" t="str">
        <f>VLOOKUP($A40,Questions!$A$3:$L$333,12,0)&amp;""</f>
        <v>IT Accessibility</v>
      </c>
      <c r="F40" s="4" t="str">
        <f>VLOOKUP($A40,'Institution Evaluation'!$A$56:$K$345,3,0)&amp;""</f>
        <v>Yes</v>
      </c>
      <c r="G40" s="4" t="str">
        <f>VLOOKUP($A40,'Institution Evaluation'!$A$56:$K$345,7,0)&amp;""</f>
        <v>Yes</v>
      </c>
      <c r="H40" s="4" t="str">
        <f>VLOOKUP($A40,'Institution Evaluation'!$A$56:$K$345,8,0)&amp;""</f>
        <v/>
      </c>
      <c r="I40" s="4" t="str">
        <f>VLOOKUP($A40,'Institution Evaluation'!$A$56:$K$345,9,0)&amp;""</f>
        <v>Critical Importance</v>
      </c>
      <c r="J40" s="4" t="str">
        <f>VLOOKUP($A40,'Institution Evaluation'!$A$56:$K$345,10,0)&amp;""</f>
        <v/>
      </c>
      <c r="K40" s="4">
        <f>IF($I40='Auto Responses'!$J$11,20,IF($I40='Auto Responses'!$J$13,5,10))</f>
        <v>20</v>
      </c>
      <c r="L40" s="105">
        <f>IF($E40='Auto Responses'!$L$13, 'Auto Responses'!$J$5,IF(AND($D40='Auto Responses'!$J$27,$H40=""),'Auto Responses'!$J$5,IF(AND($D40='Auto Responses'!$J$27,$H40='Auto Responses'!$J$7),1,IF(AND($D40='Auto Responses'!$J$27,$H40='Auto Responses'!$J$8),0,IF(OR(AND($F40=$G40,$H40=""),$H40='Auto Responses'!$J$7),1,0)))))</f>
        <v>1</v>
      </c>
      <c r="M40" s="4" t="str">
        <f>VLOOKUP($A40,'Institution Evaluation'!$A$56:$K$345,11,0)&amp;""</f>
        <v>FALSE</v>
      </c>
      <c r="N40" s="4">
        <f>IF($J40='Auto Responses'!$J$11,1,IF(AND($J40="",$I40='Auto Responses'!$J$11),1,0))</f>
        <v>1</v>
      </c>
      <c r="O40" s="105">
        <f>IF(OR($F$18='Auto Responses'!$J$4,$E40='Auto Responses'!$L$13,$F40='Auto Responses'!$J$5),'Auto Responses'!$J$5,IF($J40="",$K40,IF($J40='Auto Responses'!$J$13,5,IF($J40='Auto Responses'!$J$12,10,IF($J40='Auto Responses'!$J$11,20,0)))))</f>
        <v>20</v>
      </c>
      <c r="P40" s="105">
        <f>IF(OR($O40='Auto Responses'!$J$5,$L40='Auto Responses'!$J$5),'Auto Responses'!$J$5,$O40*$L40)</f>
        <v>20</v>
      </c>
      <c r="Q40" s="105">
        <f t="shared" si="1"/>
        <v>0</v>
      </c>
      <c r="R40" s="105">
        <f t="shared" si="5"/>
        <v>0</v>
      </c>
      <c r="S40" s="105">
        <f t="shared" si="2"/>
        <v>0</v>
      </c>
      <c r="T40" s="105">
        <f t="shared" si="3"/>
        <v>1</v>
      </c>
      <c r="U40" s="105">
        <f t="shared" si="6"/>
        <v>6</v>
      </c>
      <c r="V40" s="105">
        <f t="shared" si="4"/>
        <v>6</v>
      </c>
    </row>
    <row r="41" spans="1:22" ht="56" x14ac:dyDescent="0.3">
      <c r="A41" s="4" t="str">
        <f>Questions!$A41</f>
        <v>ITAC-10</v>
      </c>
      <c r="B41" s="4" t="str">
        <f t="shared" si="0"/>
        <v>ITAC</v>
      </c>
      <c r="C41" s="4" t="str">
        <f>VLOOKUP($A41,Questions!$A$3:$L$333,2,0)&amp;""</f>
        <v>Do you have documentation to support the accessibility features of your solution?</v>
      </c>
      <c r="D41" s="4" t="str">
        <f>VLOOKUP($A41,Questions!$A$3:$L$333,11,0)&amp;""</f>
        <v/>
      </c>
      <c r="E41" s="4" t="str">
        <f>VLOOKUP($A41,Questions!$A$3:$L$333,12,0)&amp;""</f>
        <v>IT Accessibility</v>
      </c>
      <c r="F41" s="4" t="str">
        <f>VLOOKUP($A41,'Institution Evaluation'!$A$56:$K$345,3,0)&amp;""</f>
        <v>Yes</v>
      </c>
      <c r="G41" s="4" t="str">
        <f>VLOOKUP($A41,'Institution Evaluation'!$A$56:$K$345,7,0)&amp;""</f>
        <v>Yes</v>
      </c>
      <c r="H41" s="4" t="str">
        <f>VLOOKUP($A41,'Institution Evaluation'!$A$56:$K$345,8,0)&amp;""</f>
        <v/>
      </c>
      <c r="I41" s="4" t="str">
        <f>VLOOKUP($A41,'Institution Evaluation'!$A$56:$K$345,9,0)&amp;""</f>
        <v>Standard Importance</v>
      </c>
      <c r="J41" s="4" t="str">
        <f>VLOOKUP($A41,'Institution Evaluation'!$A$56:$K$345,10,0)&amp;""</f>
        <v/>
      </c>
      <c r="K41" s="4">
        <f>IF($I41='Auto Responses'!$J$11,20,IF($I41='Auto Responses'!$J$13,5,10))</f>
        <v>10</v>
      </c>
      <c r="L41" s="105">
        <f>IF($E41='Auto Responses'!$L$13, 'Auto Responses'!$J$5,IF(AND($D41='Auto Responses'!$J$27,$H41=""),'Auto Responses'!$J$5,IF(AND($D41='Auto Responses'!$J$27,$H41='Auto Responses'!$J$7),1,IF(AND($D41='Auto Responses'!$J$27,$H41='Auto Responses'!$J$8),0,IF(OR(AND($F41=$G41,$H41=""),$H41='Auto Responses'!$J$7),1,0)))))</f>
        <v>1</v>
      </c>
      <c r="M41" s="4" t="str">
        <f>VLOOKUP($A41,'Institution Evaluation'!$A$56:$K$345,11,0)&amp;""</f>
        <v>FALSE</v>
      </c>
      <c r="N41" s="4">
        <f>IF($J41='Auto Responses'!$J$11,1,IF(AND($J41="",$I41='Auto Responses'!$J$11),1,0))</f>
        <v>0</v>
      </c>
      <c r="O41" s="105">
        <f>IF(OR($F$18='Auto Responses'!$J$4,$E41='Auto Responses'!$L$13,$F41='Auto Responses'!$J$5),'Auto Responses'!$J$5,IF($J41="",$K41,IF($J41='Auto Responses'!$J$13,5,IF($J41='Auto Responses'!$J$12,10,IF($J41='Auto Responses'!$J$11,20,0)))))</f>
        <v>10</v>
      </c>
      <c r="P41" s="105">
        <f>IF(OR($O41='Auto Responses'!$J$5,$L41='Auto Responses'!$J$5),'Auto Responses'!$J$5,$O41*$L41)</f>
        <v>10</v>
      </c>
      <c r="Q41" s="105">
        <f t="shared" si="1"/>
        <v>0</v>
      </c>
      <c r="R41" s="105">
        <f t="shared" si="5"/>
        <v>0</v>
      </c>
      <c r="S41" s="105">
        <f t="shared" si="2"/>
        <v>0</v>
      </c>
      <c r="T41" s="105">
        <f t="shared" si="3"/>
        <v>0</v>
      </c>
      <c r="U41" s="105">
        <f t="shared" si="6"/>
        <v>6</v>
      </c>
      <c r="V41" s="105">
        <f t="shared" si="4"/>
        <v>0</v>
      </c>
    </row>
    <row r="42" spans="1:22" ht="56" x14ac:dyDescent="0.3">
      <c r="A42" s="4" t="str">
        <f>Questions!$A42</f>
        <v>ITAC-11</v>
      </c>
      <c r="B42" s="4" t="str">
        <f t="shared" si="0"/>
        <v>ITAC</v>
      </c>
      <c r="C42" s="4" t="str">
        <f>VLOOKUP($A42,Questions!$A$3:$L$333,2,0)&amp;""</f>
        <v>Has a third-party expert conducted an audit of the most recent version of your solution?</v>
      </c>
      <c r="D42" s="4"/>
      <c r="E42" s="4" t="str">
        <f>VLOOKUP($A42,Questions!$A$3:$L$333,12,0)&amp;""</f>
        <v>IT Accessibility</v>
      </c>
      <c r="F42" s="4" t="str">
        <f>VLOOKUP($A42,'Institution Evaluation'!$A$56:$K$345,3,0)&amp;""</f>
        <v>No</v>
      </c>
      <c r="G42" s="4" t="str">
        <f>VLOOKUP($A42,'Institution Evaluation'!$A$56:$K$345,7,0)&amp;""</f>
        <v>Yes</v>
      </c>
      <c r="H42" s="4" t="str">
        <f>VLOOKUP($A42,'Institution Evaluation'!$A$56:$K$345,8,0)&amp;""</f>
        <v/>
      </c>
      <c r="I42" s="4" t="str">
        <f>VLOOKUP($A42,'Institution Evaluation'!$A$56:$K$345,9,0)&amp;""</f>
        <v>Standard Importance</v>
      </c>
      <c r="J42" s="4" t="str">
        <f>VLOOKUP($A42,'Institution Evaluation'!$A$56:$K$345,10,0)&amp;""</f>
        <v/>
      </c>
      <c r="K42" s="4">
        <f>IF($I42='Auto Responses'!$J$11,20,IF($I42='Auto Responses'!$J$13,5,10))</f>
        <v>10</v>
      </c>
      <c r="L42" s="105">
        <f>IF($E42='Auto Responses'!$L$13, 'Auto Responses'!$J$5,IF(AND($D42='Auto Responses'!$J$27,$H42=""),'Auto Responses'!$J$5,IF(AND($D42='Auto Responses'!$J$27,$H42='Auto Responses'!$J$7),1,IF(AND($D42='Auto Responses'!$J$27,$H42='Auto Responses'!$J$8),0,IF(OR(AND($F42=$G42,$H42=""),$H42='Auto Responses'!$J$7),1,0)))))</f>
        <v>0</v>
      </c>
      <c r="M42" s="4" t="str">
        <f>VLOOKUP($A42,'Institution Evaluation'!$A$56:$K$345,11,0)&amp;""</f>
        <v>FALSE</v>
      </c>
      <c r="N42" s="4">
        <f>IF($J42='Auto Responses'!$J$11,1,IF(AND($J42="",$I42='Auto Responses'!$J$11),1,0))</f>
        <v>0</v>
      </c>
      <c r="O42" s="105">
        <f>IF(OR($F$18='Auto Responses'!$J$4,$E42='Auto Responses'!$L$13,$F42='Auto Responses'!$J$5),'Auto Responses'!$J$5,IF($J42="",$K42,IF($J42='Auto Responses'!$J$13,5,IF($J42='Auto Responses'!$J$12,10,IF($J42='Auto Responses'!$J$11,20,0)))))</f>
        <v>10</v>
      </c>
      <c r="P42" s="105">
        <f>IF(OR($O42='Auto Responses'!$J$5,$L42='Auto Responses'!$J$5),'Auto Responses'!$J$5,$O42*$L42)</f>
        <v>0</v>
      </c>
      <c r="Q42" s="105">
        <f t="shared" si="1"/>
        <v>0</v>
      </c>
      <c r="R42" s="105">
        <f t="shared" si="5"/>
        <v>0</v>
      </c>
      <c r="S42" s="105">
        <f t="shared" si="2"/>
        <v>0</v>
      </c>
      <c r="T42" s="105">
        <f t="shared" si="3"/>
        <v>0</v>
      </c>
      <c r="U42" s="105">
        <f t="shared" si="6"/>
        <v>6</v>
      </c>
      <c r="V42" s="105">
        <f t="shared" si="4"/>
        <v>0</v>
      </c>
    </row>
    <row r="43" spans="1:22" ht="56" x14ac:dyDescent="0.3">
      <c r="A43" s="4" t="str">
        <f>Questions!$A43</f>
        <v>ITAC-12</v>
      </c>
      <c r="B43" s="4" t="str">
        <f t="shared" si="0"/>
        <v>ITAC</v>
      </c>
      <c r="C43" s="4" t="str">
        <f>VLOOKUP($A43,Questions!$A$3:$L$333,2,0)&amp;""</f>
        <v>Do you have a documented and implemented process for verifying accessibility conformance?</v>
      </c>
      <c r="D43" s="4" t="str">
        <f>VLOOKUP($A43,Questions!$A$3:$L$333,11,0)&amp;""</f>
        <v/>
      </c>
      <c r="E43" s="4" t="str">
        <f>VLOOKUP($A43,Questions!$A$3:$L$333,12,0)&amp;""</f>
        <v>IT Accessibility</v>
      </c>
      <c r="F43" s="4" t="str">
        <f>VLOOKUP($A43,'Institution Evaluation'!$A$56:$K$345,3,0)&amp;""</f>
        <v>Yes</v>
      </c>
      <c r="G43" s="4" t="str">
        <f>VLOOKUP($A43,'Institution Evaluation'!$A$56:$K$345,7,0)&amp;""</f>
        <v>Yes</v>
      </c>
      <c r="H43" s="4" t="str">
        <f>VLOOKUP($A43,'Institution Evaluation'!$A$56:$K$345,8,0)&amp;""</f>
        <v/>
      </c>
      <c r="I43" s="4" t="str">
        <f>VLOOKUP($A43,'Institution Evaluation'!$A$56:$K$345,9,0)&amp;""</f>
        <v>Standard Importance</v>
      </c>
      <c r="J43" s="4" t="str">
        <f>VLOOKUP($A43,'Institution Evaluation'!$A$56:$K$345,10,0)&amp;""</f>
        <v/>
      </c>
      <c r="K43" s="4">
        <f>IF($I43='Auto Responses'!$J$11,20,IF($I43='Auto Responses'!$J$13,5,10))</f>
        <v>10</v>
      </c>
      <c r="L43" s="105">
        <f>IF($E43='Auto Responses'!$L$13, 'Auto Responses'!$J$5,IF(AND($D43='Auto Responses'!$J$27,$H43=""),'Auto Responses'!$J$5,IF(AND($D43='Auto Responses'!$J$27,$H43='Auto Responses'!$J$7),1,IF(AND($D43='Auto Responses'!$J$27,$H43='Auto Responses'!$J$8),0,IF(OR(AND($F43=$G43,$H43=""),$H43='Auto Responses'!$J$7),1,0)))))</f>
        <v>1</v>
      </c>
      <c r="M43" s="4" t="str">
        <f>VLOOKUP($A43,'Institution Evaluation'!$A$56:$K$345,11,0)&amp;""</f>
        <v>FALSE</v>
      </c>
      <c r="N43" s="4">
        <f>IF($J43='Auto Responses'!$J$11,1,IF(AND($J43="",$I43='Auto Responses'!$J$11),1,0))</f>
        <v>0</v>
      </c>
      <c r="O43" s="105">
        <f>IF(OR($F$18='Auto Responses'!$J$4,$E43='Auto Responses'!$L$13,$F43='Auto Responses'!$J$5),'Auto Responses'!$J$5,IF($J43="",$K43,IF($J43='Auto Responses'!$J$13,5,IF($J43='Auto Responses'!$J$12,10,IF($J43='Auto Responses'!$J$11,20,0)))))</f>
        <v>10</v>
      </c>
      <c r="P43" s="105">
        <f>IF(OR($O43='Auto Responses'!$J$5,$L43='Auto Responses'!$J$5),'Auto Responses'!$J$5,$O43*$L43)</f>
        <v>10</v>
      </c>
      <c r="Q43" s="105">
        <f t="shared" si="1"/>
        <v>0</v>
      </c>
      <c r="R43" s="105">
        <f t="shared" si="5"/>
        <v>0</v>
      </c>
      <c r="S43" s="105">
        <f t="shared" si="2"/>
        <v>0</v>
      </c>
      <c r="T43" s="105">
        <f t="shared" si="3"/>
        <v>0</v>
      </c>
      <c r="U43" s="105">
        <f t="shared" si="6"/>
        <v>6</v>
      </c>
      <c r="V43" s="105">
        <f t="shared" si="4"/>
        <v>0</v>
      </c>
    </row>
    <row r="44" spans="1:22" ht="56" x14ac:dyDescent="0.3">
      <c r="A44" s="4" t="str">
        <f>Questions!$A44</f>
        <v>ITAC-13</v>
      </c>
      <c r="B44" s="4" t="str">
        <f t="shared" si="0"/>
        <v>ITAC</v>
      </c>
      <c r="C44" s="4" t="str">
        <f>VLOOKUP($A44,Questions!$A$3:$L$333,2,0)&amp;""</f>
        <v>Have you adopted a technical or legal standard of conformance for the solution?</v>
      </c>
      <c r="D44" s="4" t="str">
        <f>VLOOKUP($A44,Questions!$A$3:$L$333,11,0)&amp;""</f>
        <v/>
      </c>
      <c r="E44" s="4" t="str">
        <f>VLOOKUP($A44,Questions!$A$3:$L$333,12,0)&amp;""</f>
        <v>IT Accessibility</v>
      </c>
      <c r="F44" s="4" t="str">
        <f>VLOOKUP($A44,'Institution Evaluation'!$A$56:$K$345,3,0)&amp;""</f>
        <v>Yes</v>
      </c>
      <c r="G44" s="4" t="str">
        <f>VLOOKUP($A44,'Institution Evaluation'!$A$56:$K$345,7,0)&amp;""</f>
        <v>Yes</v>
      </c>
      <c r="H44" s="4" t="str">
        <f>VLOOKUP($A44,'Institution Evaluation'!$A$56:$K$345,8,0)&amp;""</f>
        <v/>
      </c>
      <c r="I44" s="4" t="str">
        <f>VLOOKUP($A44,'Institution Evaluation'!$A$56:$K$345,9,0)&amp;""</f>
        <v>Standard Importance</v>
      </c>
      <c r="J44" s="4" t="str">
        <f>VLOOKUP($A44,'Institution Evaluation'!$A$56:$K$345,10,0)&amp;""</f>
        <v/>
      </c>
      <c r="K44" s="4">
        <f>IF($I44='Auto Responses'!$J$11,20,IF($I44='Auto Responses'!$J$13,5,10))</f>
        <v>10</v>
      </c>
      <c r="L44" s="105">
        <f>IF($E44='Auto Responses'!$L$13, 'Auto Responses'!$J$5,IF(AND($D44='Auto Responses'!$J$27,$H44=""),'Auto Responses'!$J$5,IF(AND($D44='Auto Responses'!$J$27,$H44='Auto Responses'!$J$7),1,IF(AND($D44='Auto Responses'!$J$27,$H44='Auto Responses'!$J$8),0,IF(OR(AND($F44=$G44,$H44=""),$H44='Auto Responses'!$J$7),1,0)))))</f>
        <v>1</v>
      </c>
      <c r="M44" s="4" t="str">
        <f>VLOOKUP($A44,'Institution Evaluation'!$A$56:$K$345,11,0)&amp;""</f>
        <v>FALSE</v>
      </c>
      <c r="N44" s="4">
        <f>IF($J44='Auto Responses'!$J$11,1,IF(AND($J44="",$I44='Auto Responses'!$J$11),1,0))</f>
        <v>0</v>
      </c>
      <c r="O44" s="105">
        <f>IF(OR($F$18='Auto Responses'!$J$4,$E44='Auto Responses'!$L$13,$F44='Auto Responses'!$J$5),'Auto Responses'!$J$5,IF($J44="",$K44,IF($J44='Auto Responses'!$J$13,5,IF($J44='Auto Responses'!$J$12,10,IF($J44='Auto Responses'!$J$11,20,0)))))</f>
        <v>10</v>
      </c>
      <c r="P44" s="105">
        <f>IF(OR($O44='Auto Responses'!$J$5,$L44='Auto Responses'!$J$5),'Auto Responses'!$J$5,$O44*$L44)</f>
        <v>10</v>
      </c>
      <c r="Q44" s="105">
        <f t="shared" si="1"/>
        <v>0</v>
      </c>
      <c r="R44" s="105">
        <f t="shared" si="5"/>
        <v>0</v>
      </c>
      <c r="S44" s="105">
        <f t="shared" si="2"/>
        <v>0</v>
      </c>
      <c r="T44" s="105">
        <f t="shared" si="3"/>
        <v>0</v>
      </c>
      <c r="U44" s="105">
        <f t="shared" si="6"/>
        <v>6</v>
      </c>
      <c r="V44" s="105">
        <f t="shared" si="4"/>
        <v>0</v>
      </c>
    </row>
    <row r="45" spans="1:22" ht="56" x14ac:dyDescent="0.3">
      <c r="A45" s="4" t="str">
        <f>Questions!$A45</f>
        <v>ITAC-14</v>
      </c>
      <c r="B45" s="4" t="str">
        <f t="shared" si="0"/>
        <v>ITAC</v>
      </c>
      <c r="C45" s="4" t="str">
        <f>VLOOKUP($A45,Questions!$A$3:$L$333,2,0)&amp;""</f>
        <v>Can you provide a current, detailed accessibility roadmap with delivery timelines?</v>
      </c>
      <c r="D45" s="4" t="str">
        <f>VLOOKUP($A45,Questions!$A$3:$L$333,11,0)&amp;""</f>
        <v/>
      </c>
      <c r="E45" s="4" t="str">
        <f>VLOOKUP($A45,Questions!$A$3:$L$333,12,0)&amp;""</f>
        <v>IT Accessibility</v>
      </c>
      <c r="F45" s="4" t="str">
        <f>VLOOKUP($A45,'Institution Evaluation'!$A$56:$K$345,3,0)&amp;""</f>
        <v>Yes</v>
      </c>
      <c r="G45" s="4" t="str">
        <f>VLOOKUP($A45,'Institution Evaluation'!$A$56:$K$345,7,0)&amp;""</f>
        <v>Yes</v>
      </c>
      <c r="H45" s="4" t="str">
        <f>VLOOKUP($A45,'Institution Evaluation'!$A$56:$K$345,8,0)&amp;""</f>
        <v/>
      </c>
      <c r="I45" s="4" t="str">
        <f>VLOOKUP($A45,'Institution Evaluation'!$A$56:$K$345,9,0)&amp;""</f>
        <v>Standard Importance</v>
      </c>
      <c r="J45" s="4" t="str">
        <f>VLOOKUP($A45,'Institution Evaluation'!$A$56:$K$345,10,0)&amp;""</f>
        <v/>
      </c>
      <c r="K45" s="4">
        <f>IF($I45='Auto Responses'!$J$11,20,IF($I45='Auto Responses'!$J$13,5,10))</f>
        <v>10</v>
      </c>
      <c r="L45" s="105">
        <f>IF($E45='Auto Responses'!$L$13, 'Auto Responses'!$J$5,IF(AND($D45='Auto Responses'!$J$27,$H45=""),'Auto Responses'!$J$5,IF(AND($D45='Auto Responses'!$J$27,$H45='Auto Responses'!$J$7),1,IF(AND($D45='Auto Responses'!$J$27,$H45='Auto Responses'!$J$8),0,IF(OR(AND($F45=$G45,$H45=""),$H45='Auto Responses'!$J$7),1,0)))))</f>
        <v>1</v>
      </c>
      <c r="M45" s="4" t="str">
        <f>VLOOKUP($A45,'Institution Evaluation'!$A$56:$K$345,11,0)&amp;""</f>
        <v>FALSE</v>
      </c>
      <c r="N45" s="4">
        <f>IF($J45='Auto Responses'!$J$11,1,IF(AND($J45="",$I45='Auto Responses'!$J$11),1,0))</f>
        <v>0</v>
      </c>
      <c r="O45" s="105">
        <f>IF(OR($F$18='Auto Responses'!$J$4,$E45='Auto Responses'!$L$13,$F45='Auto Responses'!$J$5),'Auto Responses'!$J$5,IF($J45="",$K45,IF($J45='Auto Responses'!$J$13,5,IF($J45='Auto Responses'!$J$12,10,IF($J45='Auto Responses'!$J$11,20,0)))))</f>
        <v>10</v>
      </c>
      <c r="P45" s="105">
        <f>IF(OR($O45='Auto Responses'!$J$5,$L45='Auto Responses'!$J$5),'Auto Responses'!$J$5,$O45*$L45)</f>
        <v>10</v>
      </c>
      <c r="Q45" s="105">
        <f t="shared" si="1"/>
        <v>0</v>
      </c>
      <c r="R45" s="105">
        <f t="shared" si="5"/>
        <v>0</v>
      </c>
      <c r="S45" s="105">
        <f t="shared" si="2"/>
        <v>0</v>
      </c>
      <c r="T45" s="105">
        <f t="shared" si="3"/>
        <v>0</v>
      </c>
      <c r="U45" s="105">
        <f t="shared" si="6"/>
        <v>6</v>
      </c>
      <c r="V45" s="105">
        <f t="shared" si="4"/>
        <v>0</v>
      </c>
    </row>
    <row r="46" spans="1:22" ht="56" x14ac:dyDescent="0.3">
      <c r="A46" s="4" t="str">
        <f>Questions!$A46</f>
        <v>ITAC-15</v>
      </c>
      <c r="B46" s="4" t="str">
        <f t="shared" si="0"/>
        <v>ITAC</v>
      </c>
      <c r="C46" s="4" t="str">
        <f>VLOOKUP($A46,Questions!$A$3:$L$333,2,0)&amp;""</f>
        <v>Do you expect your staff to maintain a current skill set in IT accessibility?</v>
      </c>
      <c r="D46" s="4" t="str">
        <f>VLOOKUP($A46,Questions!$A$3:$L$333,11,0)&amp;""</f>
        <v/>
      </c>
      <c r="E46" s="4" t="str">
        <f>VLOOKUP($A46,Questions!$A$3:$L$333,12,0)&amp;""</f>
        <v>IT Accessibility</v>
      </c>
      <c r="F46" s="4" t="str">
        <f>VLOOKUP($A46,'Institution Evaluation'!$A$56:$K$345,3,0)&amp;""</f>
        <v>Yes</v>
      </c>
      <c r="G46" s="4" t="str">
        <f>VLOOKUP($A46,'Institution Evaluation'!$A$56:$K$345,7,0)&amp;""</f>
        <v>Yes</v>
      </c>
      <c r="H46" s="4" t="str">
        <f>VLOOKUP($A46,'Institution Evaluation'!$A$56:$K$345,8,0)&amp;""</f>
        <v/>
      </c>
      <c r="I46" s="4" t="str">
        <f>VLOOKUP($A46,'Institution Evaluation'!$A$56:$K$345,9,0)&amp;""</f>
        <v>Standard Importance</v>
      </c>
      <c r="J46" s="4" t="str">
        <f>VLOOKUP($A46,'Institution Evaluation'!$A$56:$K$345,10,0)&amp;""</f>
        <v/>
      </c>
      <c r="K46" s="4">
        <f>IF($I46='Auto Responses'!$J$11,20,IF($I46='Auto Responses'!$J$13,5,10))</f>
        <v>10</v>
      </c>
      <c r="L46" s="105">
        <f>IF($E46='Auto Responses'!$L$13, 'Auto Responses'!$J$5,IF(AND($D46='Auto Responses'!$J$27,$H46=""),'Auto Responses'!$J$5,IF(AND($D46='Auto Responses'!$J$27,$H46='Auto Responses'!$J$7),1,IF(AND($D46='Auto Responses'!$J$27,$H46='Auto Responses'!$J$8),0,IF(OR(AND($F46=$G46,$H46=""),$H46='Auto Responses'!$J$7),1,0)))))</f>
        <v>1</v>
      </c>
      <c r="M46" s="4" t="str">
        <f>VLOOKUP($A46,'Institution Evaluation'!$A$56:$K$345,11,0)&amp;""</f>
        <v>FALSE</v>
      </c>
      <c r="N46" s="4">
        <f>IF($J46='Auto Responses'!$J$11,1,IF(AND($J46="",$I46='Auto Responses'!$J$11),1,0))</f>
        <v>0</v>
      </c>
      <c r="O46" s="105">
        <f>IF(OR($F$18='Auto Responses'!$J$4,$E46='Auto Responses'!$L$13,$F46='Auto Responses'!$J$5),'Auto Responses'!$J$5,IF($J46="",$K46,IF($J46='Auto Responses'!$J$13,5,IF($J46='Auto Responses'!$J$12,10,IF($J46='Auto Responses'!$J$11,20,0)))))</f>
        <v>10</v>
      </c>
      <c r="P46" s="105">
        <f>IF(OR($O46='Auto Responses'!$J$5,$L46='Auto Responses'!$J$5),'Auto Responses'!$J$5,$O46*$L46)</f>
        <v>10</v>
      </c>
      <c r="Q46" s="105">
        <f t="shared" si="1"/>
        <v>0</v>
      </c>
      <c r="R46" s="105">
        <f t="shared" si="5"/>
        <v>0</v>
      </c>
      <c r="S46" s="105">
        <f t="shared" si="2"/>
        <v>0</v>
      </c>
      <c r="T46" s="105">
        <f t="shared" si="3"/>
        <v>0</v>
      </c>
      <c r="U46" s="105">
        <f t="shared" si="6"/>
        <v>6</v>
      </c>
      <c r="V46" s="105">
        <f t="shared" si="4"/>
        <v>0</v>
      </c>
    </row>
    <row r="47" spans="1:22" ht="56" x14ac:dyDescent="0.3">
      <c r="A47" s="4" t="str">
        <f>Questions!$A47</f>
        <v>ITAC-16</v>
      </c>
      <c r="B47" s="4" t="str">
        <f t="shared" si="0"/>
        <v>ITAC</v>
      </c>
      <c r="C47" s="4" t="str">
        <f>VLOOKUP($A47,Questions!$A$3:$L$333,2,0)&amp;""</f>
        <v>Do you have documented processes and procedures for implementing accessibility into your development lifecycle?</v>
      </c>
      <c r="D47" s="4" t="str">
        <f>VLOOKUP($A47,Questions!$A$3:$L$333,11,0)&amp;""</f>
        <v/>
      </c>
      <c r="E47" s="4" t="str">
        <f>VLOOKUP($A47,Questions!$A$3:$L$333,12,0)&amp;""</f>
        <v>IT Accessibility</v>
      </c>
      <c r="F47" s="4" t="str">
        <f>VLOOKUP($A47,'Institution Evaluation'!$A$56:$K$345,3,0)&amp;""</f>
        <v>Yes</v>
      </c>
      <c r="G47" s="4" t="str">
        <f>VLOOKUP($A47,'Institution Evaluation'!$A$56:$K$345,7,0)&amp;""</f>
        <v>Yes</v>
      </c>
      <c r="H47" s="4" t="str">
        <f>VLOOKUP($A47,'Institution Evaluation'!$A$56:$K$345,8,0)&amp;""</f>
        <v/>
      </c>
      <c r="I47" s="4" t="str">
        <f>VLOOKUP($A47,'Institution Evaluation'!$A$56:$K$345,9,0)&amp;""</f>
        <v>Standard Importance</v>
      </c>
      <c r="J47" s="4" t="str">
        <f>VLOOKUP($A47,'Institution Evaluation'!$A$56:$K$345,10,0)&amp;""</f>
        <v/>
      </c>
      <c r="K47" s="4">
        <f>IF($I47='Auto Responses'!$J$11,20,IF($I47='Auto Responses'!$J$13,5,10))</f>
        <v>10</v>
      </c>
      <c r="L47" s="105">
        <f>IF($E47='Auto Responses'!$L$13, 'Auto Responses'!$J$5,IF(AND($D47='Auto Responses'!$J$27,$H47=""),'Auto Responses'!$J$5,IF(AND($D47='Auto Responses'!$J$27,$H47='Auto Responses'!$J$7),1,IF(AND($D47='Auto Responses'!$J$27,$H47='Auto Responses'!$J$8),0,IF(OR(AND($F47=$G47,$H47=""),$H47='Auto Responses'!$J$7),1,0)))))</f>
        <v>1</v>
      </c>
      <c r="M47" s="4" t="str">
        <f>VLOOKUP($A47,'Institution Evaluation'!$A$56:$K$345,11,0)&amp;""</f>
        <v>FALSE</v>
      </c>
      <c r="N47" s="4">
        <f>IF($J47='Auto Responses'!$J$11,1,IF(AND($J47="",$I47='Auto Responses'!$J$11),1,0))</f>
        <v>0</v>
      </c>
      <c r="O47" s="105">
        <f>IF(OR($F$18='Auto Responses'!$J$4,$E47='Auto Responses'!$L$13,$F47='Auto Responses'!$J$5),'Auto Responses'!$J$5,IF($J47="",$K47,IF($J47='Auto Responses'!$J$13,5,IF($J47='Auto Responses'!$J$12,10,IF($J47='Auto Responses'!$J$11,20,0)))))</f>
        <v>10</v>
      </c>
      <c r="P47" s="105">
        <f>IF(OR($O47='Auto Responses'!$J$5,$L47='Auto Responses'!$J$5),'Auto Responses'!$J$5,$O47*$L47)</f>
        <v>10</v>
      </c>
      <c r="Q47" s="105">
        <f t="shared" si="1"/>
        <v>0</v>
      </c>
      <c r="R47" s="105">
        <f t="shared" si="5"/>
        <v>0</v>
      </c>
      <c r="S47" s="105">
        <f t="shared" si="2"/>
        <v>0</v>
      </c>
      <c r="T47" s="105">
        <f t="shared" si="3"/>
        <v>0</v>
      </c>
      <c r="U47" s="105">
        <f t="shared" si="6"/>
        <v>6</v>
      </c>
      <c r="V47" s="105">
        <f t="shared" si="4"/>
        <v>0</v>
      </c>
    </row>
    <row r="48" spans="1:22" ht="56" x14ac:dyDescent="0.3">
      <c r="A48" s="4" t="str">
        <f>Questions!$A48</f>
        <v>ITAC-17</v>
      </c>
      <c r="B48" s="4" t="str">
        <f t="shared" si="0"/>
        <v>ITAC</v>
      </c>
      <c r="C48" s="4" t="str">
        <f>VLOOKUP($A48,Questions!$A$3:$L$333,2,0)&amp;""</f>
        <v>Can all functions of the application or service be performed using only the keyboard?</v>
      </c>
      <c r="D48" s="4" t="str">
        <f>VLOOKUP($A48,Questions!$A$3:$L$333,11,0)&amp;""</f>
        <v/>
      </c>
      <c r="E48" s="4" t="str">
        <f>VLOOKUP($A48,Questions!$A$3:$L$333,12,0)&amp;""</f>
        <v>IT Accessibility</v>
      </c>
      <c r="F48" s="4" t="str">
        <f>VLOOKUP($A48,'Institution Evaluation'!$A$56:$K$345,3,0)&amp;""</f>
        <v>No</v>
      </c>
      <c r="G48" s="4" t="str">
        <f>VLOOKUP($A48,'Institution Evaluation'!$A$56:$K$345,7,0)&amp;""</f>
        <v>Yes</v>
      </c>
      <c r="H48" s="4" t="str">
        <f>VLOOKUP($A48,'Institution Evaluation'!$A$56:$K$345,8,0)&amp;""</f>
        <v/>
      </c>
      <c r="I48" s="4" t="str">
        <f>VLOOKUP($A48,'Institution Evaluation'!$A$56:$K$345,9,0)&amp;""</f>
        <v>Standard Importance</v>
      </c>
      <c r="J48" s="4" t="str">
        <f>VLOOKUP($A48,'Institution Evaluation'!$A$56:$K$345,10,0)&amp;""</f>
        <v/>
      </c>
      <c r="K48" s="4">
        <f>IF($I48='Auto Responses'!$J$11,20,IF($I48='Auto Responses'!$J$13,5,10))</f>
        <v>10</v>
      </c>
      <c r="L48" s="105">
        <f>IF($E48='Auto Responses'!$L$13, 'Auto Responses'!$J$5,IF(AND($D48='Auto Responses'!$J$27,$H48=""),'Auto Responses'!$J$5,IF(AND($D48='Auto Responses'!$J$27,$H48='Auto Responses'!$J$7),1,IF(AND($D48='Auto Responses'!$J$27,$H48='Auto Responses'!$J$8),0,IF(OR(AND($F48=$G48,$H48=""),$H48='Auto Responses'!$J$7),1,0)))))</f>
        <v>0</v>
      </c>
      <c r="M48" s="4" t="str">
        <f>VLOOKUP($A48,'Institution Evaluation'!$A$56:$K$345,11,0)&amp;""</f>
        <v>FALSE</v>
      </c>
      <c r="N48" s="4">
        <f>IF($J48='Auto Responses'!$J$11,1,IF(AND($J48="",$I48='Auto Responses'!$J$11),1,0))</f>
        <v>0</v>
      </c>
      <c r="O48" s="105">
        <f>IF(OR($F$18='Auto Responses'!$J$4,$E48='Auto Responses'!$L$13,$F48='Auto Responses'!$J$5),'Auto Responses'!$J$5,IF($J48="",$K48,IF($J48='Auto Responses'!$J$13,5,IF($J48='Auto Responses'!$J$12,10,IF($J48='Auto Responses'!$J$11,20,0)))))</f>
        <v>10</v>
      </c>
      <c r="P48" s="105">
        <f>IF(OR($O48='Auto Responses'!$J$5,$L48='Auto Responses'!$J$5),'Auto Responses'!$J$5,$O48*$L48)</f>
        <v>0</v>
      </c>
      <c r="Q48" s="105">
        <f t="shared" si="1"/>
        <v>0</v>
      </c>
      <c r="R48" s="105">
        <f t="shared" si="5"/>
        <v>0</v>
      </c>
      <c r="S48" s="105">
        <f t="shared" si="2"/>
        <v>0</v>
      </c>
      <c r="T48" s="105">
        <f t="shared" si="3"/>
        <v>0</v>
      </c>
      <c r="U48" s="105">
        <f t="shared" si="6"/>
        <v>6</v>
      </c>
      <c r="V48" s="105">
        <f t="shared" si="4"/>
        <v>0</v>
      </c>
    </row>
    <row r="49" spans="1:22" ht="56" x14ac:dyDescent="0.3">
      <c r="A49" s="4" t="str">
        <f>Questions!$A49</f>
        <v>ITAC-18</v>
      </c>
      <c r="B49" s="4" t="str">
        <f t="shared" si="0"/>
        <v>ITAC</v>
      </c>
      <c r="C49" s="4" t="str">
        <f>VLOOKUP($A49,Questions!$A$3:$L$333,2,0)&amp;""</f>
        <v>Does your product rely on activating a special "accessibility mode," a "lite version," or using an alternate interface (including “overlay” or AI-based alternates)  for accessibility purposes?</v>
      </c>
      <c r="D49" s="4" t="str">
        <f>VLOOKUP($A49,Questions!$A$3:$L$333,11,0)&amp;""</f>
        <v/>
      </c>
      <c r="E49" s="4" t="str">
        <f>VLOOKUP($A49,Questions!$A$3:$L$333,12,0)&amp;""</f>
        <v>IT Accessibility</v>
      </c>
      <c r="F49" s="4" t="str">
        <f>VLOOKUP($A49,'Institution Evaluation'!$A$56:$K$345,3,0)&amp;""</f>
        <v>No</v>
      </c>
      <c r="G49" s="4" t="str">
        <f>VLOOKUP($A49,'Institution Evaluation'!$A$56:$K$345,7,0)&amp;""</f>
        <v>No</v>
      </c>
      <c r="H49" s="4" t="str">
        <f>VLOOKUP($A49,'Institution Evaluation'!$A$56:$K$345,8,0)&amp;""</f>
        <v/>
      </c>
      <c r="I49" s="4" t="str">
        <f>VLOOKUP($A49,'Institution Evaluation'!$A$56:$K$345,9,0)&amp;""</f>
        <v>Standard Importance</v>
      </c>
      <c r="J49" s="4" t="str">
        <f>VLOOKUP($A49,'Institution Evaluation'!$A$56:$K$345,10,0)&amp;""</f>
        <v/>
      </c>
      <c r="K49" s="4">
        <f>IF($I49='Auto Responses'!$J$11,20,IF($I49='Auto Responses'!$J$13,5,10))</f>
        <v>10</v>
      </c>
      <c r="L49" s="105">
        <f>IF($E49='Auto Responses'!$L$13, 'Auto Responses'!$J$5,IF(AND($D49='Auto Responses'!$J$27,$H49=""),'Auto Responses'!$J$5,IF(AND($D49='Auto Responses'!$J$27,$H49='Auto Responses'!$J$7),1,IF(AND($D49='Auto Responses'!$J$27,$H49='Auto Responses'!$J$8),0,IF(OR(AND($F49=$G49,$H49=""),$H49='Auto Responses'!$J$7),1,0)))))</f>
        <v>1</v>
      </c>
      <c r="M49" s="4" t="str">
        <f>VLOOKUP($A49,'Institution Evaluation'!$A$56:$K$345,11,0)&amp;""</f>
        <v>FALSE</v>
      </c>
      <c r="N49" s="4">
        <f>IF($J49='Auto Responses'!$J$11,1,IF(AND($J49="",$I49='Auto Responses'!$J$11),1,0))</f>
        <v>0</v>
      </c>
      <c r="O49" s="105">
        <f>IF(OR($F$18='Auto Responses'!$J$4,$E49='Auto Responses'!$L$13,$F49='Auto Responses'!$J$5),'Auto Responses'!$J$5,IF($J49="",$K49,IF($J49='Auto Responses'!$J$13,5,IF($J49='Auto Responses'!$J$12,10,IF($J49='Auto Responses'!$J$11,20,0)))))</f>
        <v>10</v>
      </c>
      <c r="P49" s="105">
        <f>IF(OR($O49='Auto Responses'!$J$5,$L49='Auto Responses'!$J$5),'Auto Responses'!$J$5,$O49*$L49)</f>
        <v>10</v>
      </c>
      <c r="Q49" s="105">
        <f t="shared" si="1"/>
        <v>0</v>
      </c>
      <c r="R49" s="105">
        <f t="shared" si="5"/>
        <v>0</v>
      </c>
      <c r="S49" s="105">
        <f t="shared" si="2"/>
        <v>0</v>
      </c>
      <c r="T49" s="105">
        <f t="shared" si="3"/>
        <v>0</v>
      </c>
      <c r="U49" s="105">
        <f t="shared" si="6"/>
        <v>6</v>
      </c>
      <c r="V49" s="105">
        <f t="shared" si="4"/>
        <v>0</v>
      </c>
    </row>
    <row r="50" spans="1:22" ht="56" x14ac:dyDescent="0.3">
      <c r="A50" s="4" t="str">
        <f>Questions!$A51</f>
        <v>THRD-02</v>
      </c>
      <c r="B50" s="4" t="str">
        <f t="shared" si="0"/>
        <v>THRD</v>
      </c>
      <c r="C50" s="4" t="str">
        <f>VLOOKUP($A50,Questions!$A$3:$L$333,2,0)&amp;""</f>
        <v>Do you have contractual language in place with third parties governing access to institutional data?*</v>
      </c>
      <c r="D50" s="4" t="str">
        <f>VLOOKUP($A50,Questions!$A$3:$L$333,11,0)&amp;""</f>
        <v/>
      </c>
      <c r="E50" s="4" t="str">
        <f>VLOOKUP($A50,Questions!$A$3:$L$333,12,0)&amp;""</f>
        <v>Organization</v>
      </c>
      <c r="F50" s="4" t="str">
        <f>VLOOKUP($A50,'Institution Evaluation'!$A$56:$K$345,3,0)&amp;""</f>
        <v>Yes</v>
      </c>
      <c r="G50" s="4" t="str">
        <f>VLOOKUP($A50,'Institution Evaluation'!$A$56:$K$345,7,0)&amp;""</f>
        <v>Yes</v>
      </c>
      <c r="H50" s="4" t="str">
        <f>VLOOKUP($A50,'Institution Evaluation'!$A$56:$K$345,8,0)&amp;""</f>
        <v/>
      </c>
      <c r="I50" s="4" t="str">
        <f>VLOOKUP($A50,'Institution Evaluation'!$A$56:$K$345,9,0)&amp;""</f>
        <v>Critical Importance</v>
      </c>
      <c r="J50" s="4" t="str">
        <f>VLOOKUP($A50,'Institution Evaluation'!$A$56:$K$345,10,0)&amp;""</f>
        <v/>
      </c>
      <c r="K50" s="4">
        <f>IF($I50='Auto Responses'!$J$11,20,IF($I50='Auto Responses'!$J$13,5,10))</f>
        <v>20</v>
      </c>
      <c r="L50" s="105">
        <f>IF($E50='Auto Responses'!$L$13, 'Auto Responses'!$J$5,IF(AND($D50='Auto Responses'!$J$27,$H50=""),'Auto Responses'!$J$5,IF(AND($D50='Auto Responses'!$J$27,$H50='Auto Responses'!$J$7),1,IF(AND($D50='Auto Responses'!$J$27,$H50='Auto Responses'!$J$8),0,IF(OR(AND($F50=$G50,$H50=""),$H50='Auto Responses'!$J$7),1,0)))))</f>
        <v>1</v>
      </c>
      <c r="M50" s="4" t="str">
        <f>VLOOKUP($A50,'Institution Evaluation'!$A$56:$K$345,11,0)&amp;""</f>
        <v>FALSE</v>
      </c>
      <c r="N50" s="4">
        <f>IF($J50='Auto Responses'!$J$11,1,IF(AND($J50="",$I50='Auto Responses'!$J$11),1,0))</f>
        <v>1</v>
      </c>
      <c r="O50" s="105">
        <f>IF(OR($E50='Auto Responses'!$L$13,$F50='Auto Responses'!$J$5),'Auto Responses'!$J$5,IF($J50="",$K50,IF($J50='Auto Responses'!$J$13,5,IF($J50='Auto Responses'!$J$12,10,IF($J50='Auto Responses'!$J$11,20,0)))))</f>
        <v>20</v>
      </c>
      <c r="P50" s="105">
        <f>IF(OR($O50='Auto Responses'!$J$5,$L50='Auto Responses'!$J$5),'Auto Responses'!$J$5,$O50*$L50)</f>
        <v>20</v>
      </c>
      <c r="Q50" s="105">
        <f t="shared" si="1"/>
        <v>0</v>
      </c>
      <c r="R50" s="105">
        <f t="shared" si="5"/>
        <v>0</v>
      </c>
      <c r="S50" s="105">
        <f t="shared" si="2"/>
        <v>0</v>
      </c>
      <c r="T50" s="105">
        <f t="shared" si="3"/>
        <v>1</v>
      </c>
      <c r="U50" s="105">
        <f t="shared" si="6"/>
        <v>7</v>
      </c>
      <c r="V50" s="105">
        <f t="shared" si="4"/>
        <v>7</v>
      </c>
    </row>
    <row r="51" spans="1:22" ht="56" x14ac:dyDescent="0.3">
      <c r="A51" s="4" t="str">
        <f>Questions!$A50</f>
        <v>THRD-01</v>
      </c>
      <c r="B51" s="4" t="str">
        <f t="shared" si="0"/>
        <v>THRD</v>
      </c>
      <c r="C51" s="4" t="str">
        <f>VLOOKUP($A51,Questions!$A$3:$L$333,2,0)&amp;""</f>
        <v>Do you perform security assessments of third-party companies with which you share data (e.g., hosting providers, cloud services, PaaS, IaaS, SaaS)?*</v>
      </c>
      <c r="D51" s="4" t="str">
        <f>VLOOKUP($A51,Questions!$A$3:$L$333,11,0)&amp;""</f>
        <v/>
      </c>
      <c r="E51" s="4" t="str">
        <f>VLOOKUP($A51,Questions!$A$3:$L$333,12,0)&amp;""</f>
        <v>Organization</v>
      </c>
      <c r="F51" s="4" t="str">
        <f>VLOOKUP($A51,'Institution Evaluation'!$A$56:$K$345,3,0)&amp;""</f>
        <v>Yes</v>
      </c>
      <c r="G51" s="4" t="str">
        <f>VLOOKUP($A51,'Institution Evaluation'!$A$56:$K$345,7,0)&amp;""</f>
        <v>Yes</v>
      </c>
      <c r="H51" s="4" t="str">
        <f>VLOOKUP($A51,'Institution Evaluation'!$A$56:$K$345,8,0)&amp;""</f>
        <v/>
      </c>
      <c r="I51" s="4" t="str">
        <f>VLOOKUP($A51,'Institution Evaluation'!$A$56:$K$345,9,0)&amp;""</f>
        <v>Critical Importance</v>
      </c>
      <c r="J51" s="4" t="str">
        <f>VLOOKUP($A51,'Institution Evaluation'!$A$56:$K$345,10,0)&amp;""</f>
        <v/>
      </c>
      <c r="K51" s="4">
        <f>IF($I51='Auto Responses'!$J$11,20,IF($I51='Auto Responses'!$J$13,5,10))</f>
        <v>20</v>
      </c>
      <c r="L51" s="105">
        <f>IF($E51='Auto Responses'!$L$13, 'Auto Responses'!$J$5,IF(AND($D51='Auto Responses'!$J$27,$H51=""),'Auto Responses'!$J$5,IF(AND($D51='Auto Responses'!$J$27,$H51='Auto Responses'!$J$7),1,IF(AND($D51='Auto Responses'!$J$27,$H51='Auto Responses'!$J$8),0,IF(OR(AND($F51=$G51,$H51=""),$H51='Auto Responses'!$J$7),1,0)))))</f>
        <v>1</v>
      </c>
      <c r="M51" s="4" t="str">
        <f>VLOOKUP($A51,'Institution Evaluation'!$A$56:$K$345,11,0)&amp;""</f>
        <v>FALSE</v>
      </c>
      <c r="N51" s="4">
        <f>IF($J51='Auto Responses'!$J$11,1,IF(AND($J51="",$I51='Auto Responses'!$J$11),1,0))</f>
        <v>1</v>
      </c>
      <c r="O51" s="105">
        <f>IF(OR($E51='Auto Responses'!$L$13,$F51='Auto Responses'!$J$5),'Auto Responses'!$J$5,IF($J51="",$K51,IF($J51='Auto Responses'!$J$13,5,IF($J51='Auto Responses'!$J$12,10,IF($J51='Auto Responses'!$J$11,20,0)))))</f>
        <v>20</v>
      </c>
      <c r="P51" s="105">
        <f>IF(OR($O51='Auto Responses'!$J$5,$L51='Auto Responses'!$J$5),'Auto Responses'!$J$5,$O51*$L51)</f>
        <v>20</v>
      </c>
      <c r="Q51" s="105">
        <f t="shared" si="1"/>
        <v>0</v>
      </c>
      <c r="R51" s="105">
        <f t="shared" si="5"/>
        <v>0</v>
      </c>
      <c r="S51" s="105">
        <f t="shared" si="2"/>
        <v>0</v>
      </c>
      <c r="T51" s="105">
        <f t="shared" si="3"/>
        <v>1</v>
      </c>
      <c r="U51" s="105">
        <f t="shared" si="6"/>
        <v>8</v>
      </c>
      <c r="V51" s="105">
        <f t="shared" si="4"/>
        <v>8</v>
      </c>
    </row>
    <row r="52" spans="1:22" ht="56" x14ac:dyDescent="0.3">
      <c r="A52" s="4" t="str">
        <f>Questions!$A52</f>
        <v>THRD-03</v>
      </c>
      <c r="B52" s="4" t="str">
        <f t="shared" si="0"/>
        <v>THRD</v>
      </c>
      <c r="C52" s="4" t="str">
        <f>VLOOKUP($A52,Questions!$A$3:$L$333,2,0)&amp;""</f>
        <v>Do the contracts in place with these third parties address liability in the event of a data breach?*</v>
      </c>
      <c r="D52" s="4" t="str">
        <f>VLOOKUP($A52,Questions!$A$3:$L$333,11,0)&amp;""</f>
        <v/>
      </c>
      <c r="E52" s="4" t="str">
        <f>VLOOKUP($A52,Questions!$A$3:$L$333,12,0)&amp;""</f>
        <v>Organization</v>
      </c>
      <c r="F52" s="4" t="str">
        <f>VLOOKUP($A52,'Institution Evaluation'!$A$56:$K$345,3,0)&amp;""</f>
        <v>Yes</v>
      </c>
      <c r="G52" s="4" t="str">
        <f>VLOOKUP($A52,'Institution Evaluation'!$A$56:$K$345,7,0)&amp;""</f>
        <v>Yes</v>
      </c>
      <c r="H52" s="4" t="str">
        <f>VLOOKUP($A52,'Institution Evaluation'!$A$56:$K$345,8,0)&amp;""</f>
        <v/>
      </c>
      <c r="I52" s="4" t="str">
        <f>VLOOKUP($A52,'Institution Evaluation'!$A$56:$K$345,9,0)&amp;""</f>
        <v>Critical Importance</v>
      </c>
      <c r="J52" s="4" t="str">
        <f>VLOOKUP($A52,'Institution Evaluation'!$A$56:$K$345,10,0)&amp;""</f>
        <v/>
      </c>
      <c r="K52" s="4">
        <f>IF($I52='Auto Responses'!$J$11,20,IF($I52='Auto Responses'!$J$13,5,10))</f>
        <v>20</v>
      </c>
      <c r="L52" s="105">
        <f>IF($E52='Auto Responses'!$L$13, 'Auto Responses'!$J$5,IF(AND($D52='Auto Responses'!$J$27,$H52=""),'Auto Responses'!$J$5,IF(AND($D52='Auto Responses'!$J$27,$H52='Auto Responses'!$J$7),1,IF(AND($D52='Auto Responses'!$J$27,$H52='Auto Responses'!$J$8),0,IF(OR(AND($F52=$G52,$H52=""),$H52='Auto Responses'!$J$7),1,0)))))</f>
        <v>1</v>
      </c>
      <c r="M52" s="4" t="str">
        <f>VLOOKUP($A52,'Institution Evaluation'!$A$56:$K$345,11,0)&amp;""</f>
        <v>FALSE</v>
      </c>
      <c r="N52" s="4">
        <f>IF($J52='Auto Responses'!$J$11,1,IF(AND($J52="",$I52='Auto Responses'!$J$11),1,0))</f>
        <v>1</v>
      </c>
      <c r="O52" s="105">
        <f>IF(OR($E52='Auto Responses'!$L$13,$F52='Auto Responses'!$J$5),'Auto Responses'!$J$5,IF($J52="",$K52,IF($J52='Auto Responses'!$J$13,5,IF($J52='Auto Responses'!$J$12,10,IF($J52='Auto Responses'!$J$11,20,0)))))</f>
        <v>20</v>
      </c>
      <c r="P52" s="105">
        <f>IF(OR($O52='Auto Responses'!$J$5,$L52='Auto Responses'!$J$5),'Auto Responses'!$J$5,$O52*$L52)</f>
        <v>20</v>
      </c>
      <c r="Q52" s="105">
        <f t="shared" si="1"/>
        <v>0</v>
      </c>
      <c r="R52" s="105">
        <f t="shared" si="5"/>
        <v>0</v>
      </c>
      <c r="S52" s="105">
        <f t="shared" si="2"/>
        <v>0</v>
      </c>
      <c r="T52" s="105">
        <f t="shared" si="3"/>
        <v>1</v>
      </c>
      <c r="U52" s="105">
        <f t="shared" si="6"/>
        <v>9</v>
      </c>
      <c r="V52" s="105">
        <f t="shared" si="4"/>
        <v>9</v>
      </c>
    </row>
    <row r="53" spans="1:22" ht="56" x14ac:dyDescent="0.3">
      <c r="A53" s="4" t="str">
        <f>Questions!$A53</f>
        <v>THRD-04</v>
      </c>
      <c r="B53" s="4" t="str">
        <f t="shared" si="0"/>
        <v>THRD</v>
      </c>
      <c r="C53" s="4" t="str">
        <f>VLOOKUP($A53,Questions!$A$3:$L$333,2,0)&amp;""</f>
        <v>Do you have an implemented third-party management strategy?*</v>
      </c>
      <c r="D53" s="4" t="str">
        <f>VLOOKUP($A53,Questions!$A$3:$L$333,11,0)&amp;""</f>
        <v/>
      </c>
      <c r="E53" s="4" t="str">
        <f>VLOOKUP($A53,Questions!$A$3:$L$333,12,0)&amp;""</f>
        <v>Organization</v>
      </c>
      <c r="F53" s="4" t="str">
        <f>VLOOKUP($A53,'Institution Evaluation'!$A$56:$K$345,3,0)&amp;""</f>
        <v>Yes</v>
      </c>
      <c r="G53" s="4" t="str">
        <f>VLOOKUP($A53,'Institution Evaluation'!$A$56:$K$345,7,0)&amp;""</f>
        <v>Yes</v>
      </c>
      <c r="H53" s="4" t="str">
        <f>VLOOKUP($A53,'Institution Evaluation'!$A$56:$K$345,8,0)&amp;""</f>
        <v/>
      </c>
      <c r="I53" s="4" t="str">
        <f>VLOOKUP($A53,'Institution Evaluation'!$A$56:$K$345,9,0)&amp;""</f>
        <v>Critical Importance</v>
      </c>
      <c r="J53" s="4" t="str">
        <f>VLOOKUP($A53,'Institution Evaluation'!$A$56:$K$345,10,0)&amp;""</f>
        <v/>
      </c>
      <c r="K53" s="4">
        <f>IF($I53='Auto Responses'!$J$11,20,IF($I53='Auto Responses'!$J$13,5,10))</f>
        <v>20</v>
      </c>
      <c r="L53" s="105">
        <f>IF($E53='Auto Responses'!$L$13, 'Auto Responses'!$J$5,IF(AND($D53='Auto Responses'!$J$27,$H53=""),'Auto Responses'!$J$5,IF(AND($D53='Auto Responses'!$J$27,$H53='Auto Responses'!$J$7),1,IF(AND($D53='Auto Responses'!$J$27,$H53='Auto Responses'!$J$8),0,IF(OR(AND($F53=$G53,$H53=""),$H53='Auto Responses'!$J$7),1,0)))))</f>
        <v>1</v>
      </c>
      <c r="M53" s="4" t="str">
        <f>VLOOKUP($A53,'Institution Evaluation'!$A$56:$K$345,11,0)&amp;""</f>
        <v>FALSE</v>
      </c>
      <c r="N53" s="4">
        <f>IF($J53='Auto Responses'!$J$11,1,IF(AND($J53="",$I53='Auto Responses'!$J$11),1,0))</f>
        <v>1</v>
      </c>
      <c r="O53" s="105">
        <f>IF(OR($E53='Auto Responses'!$L$13,$F53='Auto Responses'!$J$5),'Auto Responses'!$J$5,IF($J53="",$K53,IF($J53='Auto Responses'!$J$13,5,IF($J53='Auto Responses'!$J$12,10,IF($J53='Auto Responses'!$J$11,20,0)))))</f>
        <v>20</v>
      </c>
      <c r="P53" s="105">
        <f>IF(OR($O53='Auto Responses'!$J$5,$L53='Auto Responses'!$J$5),'Auto Responses'!$J$5,$O53*$L53)</f>
        <v>20</v>
      </c>
      <c r="Q53" s="105">
        <f t="shared" si="1"/>
        <v>0</v>
      </c>
      <c r="R53" s="105">
        <f t="shared" si="5"/>
        <v>0</v>
      </c>
      <c r="S53" s="105">
        <f t="shared" si="2"/>
        <v>0</v>
      </c>
      <c r="T53" s="105">
        <f t="shared" si="3"/>
        <v>1</v>
      </c>
      <c r="U53" s="105">
        <f t="shared" si="6"/>
        <v>10</v>
      </c>
      <c r="V53" s="105">
        <f t="shared" si="4"/>
        <v>10</v>
      </c>
    </row>
    <row r="54" spans="1:22" ht="56" x14ac:dyDescent="0.3">
      <c r="A54" s="4" t="str">
        <f>Questions!$A54</f>
        <v>THRD-05</v>
      </c>
      <c r="B54" s="4" t="str">
        <f t="shared" si="0"/>
        <v>THRD</v>
      </c>
      <c r="C54" s="4" t="str">
        <f>VLOOKUP($A54,Questions!$A$3:$L$333,2,0)&amp;""</f>
        <v>Do you have a process and implemented procedures for managing your hardware supply chain (e.g., telecommunications equipment, export licensing, computing devices)?</v>
      </c>
      <c r="D54" s="4" t="str">
        <f>VLOOKUP($A54,Questions!$A$3:$L$333,11,0)&amp;""</f>
        <v/>
      </c>
      <c r="E54" s="4" t="str">
        <f>VLOOKUP($A54,Questions!$A$3:$L$333,12,0)&amp;""</f>
        <v>Organization</v>
      </c>
      <c r="F54" s="4" t="str">
        <f>VLOOKUP($A54,'Institution Evaluation'!$A$56:$K$345,3,0)&amp;""</f>
        <v>Yes</v>
      </c>
      <c r="G54" s="4" t="str">
        <f>VLOOKUP($A54,'Institution Evaluation'!$A$56:$K$345,7,0)&amp;""</f>
        <v>Yes</v>
      </c>
      <c r="H54" s="4" t="str">
        <f>VLOOKUP($A54,'Institution Evaluation'!$A$56:$K$345,8,0)&amp;""</f>
        <v/>
      </c>
      <c r="I54" s="4" t="str">
        <f>VLOOKUP($A54,'Institution Evaluation'!$A$56:$K$345,9,0)&amp;""</f>
        <v>Standard Importance</v>
      </c>
      <c r="J54" s="4" t="str">
        <f>VLOOKUP($A54,'Institution Evaluation'!$A$56:$K$345,10,0)&amp;""</f>
        <v/>
      </c>
      <c r="K54" s="4">
        <f>IF($I54='Auto Responses'!$J$11,20,IF($I54='Auto Responses'!$J$13,5,10))</f>
        <v>10</v>
      </c>
      <c r="L54" s="105">
        <f>IF($E54='Auto Responses'!$L$13, 'Auto Responses'!$J$5,IF(AND($D54='Auto Responses'!$J$27,$H54=""),'Auto Responses'!$J$5,IF(AND($D54='Auto Responses'!$J$27,$H54='Auto Responses'!$J$7),1,IF(AND($D54='Auto Responses'!$J$27,$H54='Auto Responses'!$J$8),0,IF(OR(AND($F54=$G54,$H54=""),$H54='Auto Responses'!$J$7),1,0)))))</f>
        <v>1</v>
      </c>
      <c r="M54" s="4" t="str">
        <f>VLOOKUP($A54,'Institution Evaluation'!$A$56:$K$345,11,0)&amp;""</f>
        <v>FALSE</v>
      </c>
      <c r="N54" s="4">
        <f>IF($J54='Auto Responses'!$J$11,1,IF(AND($J54="",$I54='Auto Responses'!$J$11),1,0))</f>
        <v>0</v>
      </c>
      <c r="O54" s="105">
        <f>IF(OR($E54='Auto Responses'!$L$13,$F54='Auto Responses'!$J$5),'Auto Responses'!$J$5,IF($J54="",$K54,IF($J54='Auto Responses'!$J$13,5,IF($J54='Auto Responses'!$J$12,10,IF($J54='Auto Responses'!$J$11,20,0)))))</f>
        <v>10</v>
      </c>
      <c r="P54" s="105">
        <f>IF(OR($O54='Auto Responses'!$J$5,$L54='Auto Responses'!$J$5),'Auto Responses'!$J$5,$O54*$L54)</f>
        <v>10</v>
      </c>
      <c r="Q54" s="105">
        <f t="shared" si="1"/>
        <v>0</v>
      </c>
      <c r="R54" s="105">
        <f t="shared" si="5"/>
        <v>0</v>
      </c>
      <c r="S54" s="105">
        <f t="shared" si="2"/>
        <v>0</v>
      </c>
      <c r="T54" s="105">
        <f t="shared" si="3"/>
        <v>0</v>
      </c>
      <c r="U54" s="105">
        <f t="shared" si="6"/>
        <v>10</v>
      </c>
      <c r="V54" s="105">
        <f t="shared" si="4"/>
        <v>0</v>
      </c>
    </row>
    <row r="55" spans="1:22" ht="56" x14ac:dyDescent="0.3">
      <c r="A55" s="4" t="str">
        <f>Questions!$A55</f>
        <v>CONS-01</v>
      </c>
      <c r="B55" s="4" t="str">
        <f t="shared" si="0"/>
        <v>CONS</v>
      </c>
      <c r="C55" s="4" t="str">
        <f>VLOOKUP($A55,Questions!$A$3:$L$333,2,0)&amp;""</f>
        <v>Will the consultant require access to the institution's network resources?*</v>
      </c>
      <c r="D55" s="4" t="str">
        <f>VLOOKUP($A55,Questions!$A$3:$L$333,11,0)&amp;""</f>
        <v/>
      </c>
      <c r="E55" s="4" t="str">
        <f>VLOOKUP($A55,Questions!$A$3:$L$333,12,0)&amp;""</f>
        <v>Case-Specific</v>
      </c>
      <c r="F55" s="4" t="str">
        <f>VLOOKUP($A55,'Institution Evaluation'!$A$56:$K$345,3,0)&amp;""</f>
        <v>No</v>
      </c>
      <c r="G55" s="4" t="str">
        <f>VLOOKUP($A55,'Institution Evaluation'!$A$56:$K$345,7,0)&amp;""</f>
        <v>No</v>
      </c>
      <c r="H55" s="4" t="str">
        <f>VLOOKUP($A55,'Institution Evaluation'!$A$56:$K$345,8,0)&amp;""</f>
        <v/>
      </c>
      <c r="I55" s="4" t="str">
        <f>VLOOKUP($A55,'Institution Evaluation'!$A$56:$K$345,9,0)&amp;""</f>
        <v>Critical Importance</v>
      </c>
      <c r="J55" s="4" t="str">
        <f>VLOOKUP($A55,'Institution Evaluation'!$A$56:$K$345,10,0)&amp;""</f>
        <v/>
      </c>
      <c r="K55" s="4">
        <f>IF($I55='Auto Responses'!$J$11,20,IF($I55='Auto Responses'!$J$13,5,10))</f>
        <v>20</v>
      </c>
      <c r="L55" s="105">
        <f>IF($E55='Auto Responses'!$L$13, 'Auto Responses'!$J$5,IF(AND($D55='Auto Responses'!$J$27,$H55=""),'Auto Responses'!$J$5,IF(AND($D55='Auto Responses'!$J$27,$H55='Auto Responses'!$J$7),1,IF(AND($D55='Auto Responses'!$J$27,$H55='Auto Responses'!$J$8),0,IF(OR(AND($F55=$G55,$H55=""),$H55='Auto Responses'!$J$7),1,0)))))</f>
        <v>1</v>
      </c>
      <c r="M55" s="4" t="str">
        <f>VLOOKUP($A55,'Institution Evaluation'!$A$56:$K$345,11,0)&amp;""</f>
        <v>FALSE</v>
      </c>
      <c r="N55" s="4">
        <f>IF($J55='Auto Responses'!$J$11,1,IF(AND($J55="",$I55='Auto Responses'!$J$11),1,0))</f>
        <v>1</v>
      </c>
      <c r="O55" s="105">
        <f>IF(OR($F$19='Auto Responses'!$J$4,$E55='Auto Responses'!$L$13,$F55='Auto Responses'!$J$5),'Auto Responses'!$J$5,IF($J55="",$K55,IF($J55='Auto Responses'!$J$13,5,IF($J55='Auto Responses'!$J$12,10,IF($J55='Auto Responses'!$J$11,20,0)))))</f>
        <v>20</v>
      </c>
      <c r="P55" s="105">
        <f>IF(OR($O55='Auto Responses'!$J$5,$L55='Auto Responses'!$J$5),'Auto Responses'!$J$5,$O55*$L55)</f>
        <v>20</v>
      </c>
      <c r="Q55" s="105">
        <f t="shared" si="1"/>
        <v>0</v>
      </c>
      <c r="R55" s="105">
        <f t="shared" si="5"/>
        <v>0</v>
      </c>
      <c r="S55" s="105">
        <f t="shared" si="2"/>
        <v>0</v>
      </c>
      <c r="T55" s="105">
        <f t="shared" si="3"/>
        <v>1</v>
      </c>
      <c r="U55" s="105">
        <f t="shared" si="6"/>
        <v>11</v>
      </c>
      <c r="V55" s="105">
        <f t="shared" si="4"/>
        <v>11</v>
      </c>
    </row>
    <row r="56" spans="1:22" ht="56" x14ac:dyDescent="0.3">
      <c r="A56" s="4" t="str">
        <f>Questions!$A56</f>
        <v>CONS-02</v>
      </c>
      <c r="B56" s="4" t="str">
        <f t="shared" si="0"/>
        <v>CONS</v>
      </c>
      <c r="C56" s="4" t="str">
        <f>VLOOKUP($A56,Questions!$A$3:$L$333,2,0)&amp;""</f>
        <v>Has the consultant received training on (sensitive, HIPAA, PCI, etc.) data handling?*</v>
      </c>
      <c r="D56" s="4" t="str">
        <f>VLOOKUP($A56,Questions!$A$3:$L$333,11,0)&amp;""</f>
        <v/>
      </c>
      <c r="E56" s="4" t="str">
        <f>VLOOKUP($A56,Questions!$A$3:$L$333,12,0)&amp;""</f>
        <v>Case-Specific</v>
      </c>
      <c r="F56" s="4" t="str">
        <f>VLOOKUP($A56,'Institution Evaluation'!$A$56:$K$345,3,0)&amp;""</f>
        <v>Yes</v>
      </c>
      <c r="G56" s="4" t="str">
        <f>VLOOKUP($A56,'Institution Evaluation'!$A$56:$K$345,7,0)&amp;""</f>
        <v>Yes</v>
      </c>
      <c r="H56" s="4" t="str">
        <f>VLOOKUP($A56,'Institution Evaluation'!$A$56:$K$345,8,0)&amp;""</f>
        <v/>
      </c>
      <c r="I56" s="4" t="str">
        <f>VLOOKUP($A56,'Institution Evaluation'!$A$56:$K$345,9,0)&amp;""</f>
        <v>Critical Importance</v>
      </c>
      <c r="J56" s="4" t="str">
        <f>VLOOKUP($A56,'Institution Evaluation'!$A$56:$K$345,10,0)&amp;""</f>
        <v/>
      </c>
      <c r="K56" s="4">
        <f>IF($I56='Auto Responses'!$J$11,20,IF($I56='Auto Responses'!$J$13,5,10))</f>
        <v>20</v>
      </c>
      <c r="L56" s="105">
        <f>IF($E56='Auto Responses'!$L$13, 'Auto Responses'!$J$5,IF(AND($D56='Auto Responses'!$J$27,$H56=""),'Auto Responses'!$J$5,IF(AND($D56='Auto Responses'!$J$27,$H56='Auto Responses'!$J$7),1,IF(AND($D56='Auto Responses'!$J$27,$H56='Auto Responses'!$J$8),0,IF(OR(AND($F56=$G56,$H56=""),$H56='Auto Responses'!$J$7),1,0)))))</f>
        <v>1</v>
      </c>
      <c r="M56" s="4" t="str">
        <f>VLOOKUP($A56,'Institution Evaluation'!$A$56:$K$345,11,0)&amp;""</f>
        <v>FALSE</v>
      </c>
      <c r="N56" s="4">
        <f>IF($J56='Auto Responses'!$J$11,1,IF(AND($J56="",$I56='Auto Responses'!$J$11),1,0))</f>
        <v>1</v>
      </c>
      <c r="O56" s="105">
        <f>IF(OR($F$19='Auto Responses'!$J$4,$E56='Auto Responses'!$L$13,$F56='Auto Responses'!$J$5),'Auto Responses'!$J$5,IF($J56="",$K56,IF($J56='Auto Responses'!$J$13,5,IF($J56='Auto Responses'!$J$12,10,IF($J56='Auto Responses'!$J$11,20,0)))))</f>
        <v>20</v>
      </c>
      <c r="P56" s="105">
        <f>IF(OR($O56='Auto Responses'!$J$5,$L56='Auto Responses'!$J$5),'Auto Responses'!$J$5,$O56*$L56)</f>
        <v>20</v>
      </c>
      <c r="Q56" s="105">
        <f t="shared" si="1"/>
        <v>0</v>
      </c>
      <c r="R56" s="105">
        <f t="shared" si="5"/>
        <v>0</v>
      </c>
      <c r="S56" s="105">
        <f t="shared" si="2"/>
        <v>0</v>
      </c>
      <c r="T56" s="105">
        <f t="shared" si="3"/>
        <v>1</v>
      </c>
      <c r="U56" s="105">
        <f t="shared" si="6"/>
        <v>12</v>
      </c>
      <c r="V56" s="105">
        <f t="shared" si="4"/>
        <v>12</v>
      </c>
    </row>
    <row r="57" spans="1:22" ht="56" x14ac:dyDescent="0.3">
      <c r="A57" s="4" t="str">
        <f>Questions!$A57</f>
        <v>CONS-03</v>
      </c>
      <c r="B57" s="4" t="str">
        <f t="shared" si="0"/>
        <v>CONS</v>
      </c>
      <c r="C57" s="4" t="str">
        <f>VLOOKUP($A57,Questions!$A$3:$L$333,2,0)&amp;""</f>
        <v>Is the data encrypted (at rest) while in the consultant's possession?*</v>
      </c>
      <c r="D57" s="4" t="str">
        <f>VLOOKUP($A57,Questions!$A$3:$L$333,11,0)&amp;""</f>
        <v/>
      </c>
      <c r="E57" s="4" t="str">
        <f>VLOOKUP($A57,Questions!$A$3:$L$333,12,0)&amp;""</f>
        <v>Case-Specific</v>
      </c>
      <c r="F57" s="4" t="str">
        <f>VLOOKUP($A57,'Institution Evaluation'!$A$56:$K$345,3,0)&amp;""</f>
        <v>Yes</v>
      </c>
      <c r="G57" s="4" t="str">
        <f>VLOOKUP($A57,'Institution Evaluation'!$A$56:$K$345,7,0)&amp;""</f>
        <v>Yes</v>
      </c>
      <c r="H57" s="4" t="str">
        <f>VLOOKUP($A57,'Institution Evaluation'!$A$56:$K$345,8,0)&amp;""</f>
        <v/>
      </c>
      <c r="I57" s="4" t="str">
        <f>VLOOKUP($A57,'Institution Evaluation'!$A$56:$K$345,9,0)&amp;""</f>
        <v>Critical Importance</v>
      </c>
      <c r="J57" s="4" t="str">
        <f>VLOOKUP($A57,'Institution Evaluation'!$A$56:$K$345,10,0)&amp;""</f>
        <v/>
      </c>
      <c r="K57" s="4">
        <f>IF($I57='Auto Responses'!$J$11,20,IF($I57='Auto Responses'!$J$13,5,10))</f>
        <v>20</v>
      </c>
      <c r="L57" s="105">
        <f>IF($E57='Auto Responses'!$L$13, 'Auto Responses'!$J$5,IF(AND($D57='Auto Responses'!$J$27,$H57=""),'Auto Responses'!$J$5,IF(AND($D57='Auto Responses'!$J$27,$H57='Auto Responses'!$J$7),1,IF(AND($D57='Auto Responses'!$J$27,$H57='Auto Responses'!$J$8),0,IF(OR(AND($F57=$G57,$H57=""),$H57='Auto Responses'!$J$7),1,0)))))</f>
        <v>1</v>
      </c>
      <c r="M57" s="4" t="str">
        <f>VLOOKUP($A57,'Institution Evaluation'!$A$56:$K$345,11,0)&amp;""</f>
        <v>FALSE</v>
      </c>
      <c r="N57" s="4">
        <f>IF($J57='Auto Responses'!$J$11,1,IF(AND($J57="",$I57='Auto Responses'!$J$11),1,0))</f>
        <v>1</v>
      </c>
      <c r="O57" s="105">
        <f>IF(OR($F$19='Auto Responses'!$J$4,$E57='Auto Responses'!$L$13,$F57='Auto Responses'!$J$5),'Auto Responses'!$J$5,IF($J57="",$K57,IF($J57='Auto Responses'!$J$13,5,IF($J57='Auto Responses'!$J$12,10,IF($J57='Auto Responses'!$J$11,20,0)))))</f>
        <v>20</v>
      </c>
      <c r="P57" s="105">
        <f>IF(OR($O57='Auto Responses'!$J$5,$L57='Auto Responses'!$J$5),'Auto Responses'!$J$5,$O57*$L57)</f>
        <v>20</v>
      </c>
      <c r="Q57" s="105">
        <f t="shared" si="1"/>
        <v>0</v>
      </c>
      <c r="R57" s="105">
        <f t="shared" si="5"/>
        <v>0</v>
      </c>
      <c r="S57" s="105">
        <f t="shared" si="2"/>
        <v>0</v>
      </c>
      <c r="T57" s="105">
        <f t="shared" si="3"/>
        <v>1</v>
      </c>
      <c r="U57" s="105">
        <f t="shared" si="6"/>
        <v>13</v>
      </c>
      <c r="V57" s="105">
        <f t="shared" si="4"/>
        <v>13</v>
      </c>
    </row>
    <row r="58" spans="1:22" ht="56" x14ac:dyDescent="0.3">
      <c r="A58" s="4" t="str">
        <f>Questions!$A58</f>
        <v>CONS-04</v>
      </c>
      <c r="B58" s="4" t="str">
        <f t="shared" si="0"/>
        <v>CONS</v>
      </c>
      <c r="C58" s="4" t="str">
        <f>VLOOKUP($A58,Questions!$A$3:$L$333,2,0)&amp;""</f>
        <v>Can access be restricted based on source IP address?*</v>
      </c>
      <c r="D58" s="4" t="str">
        <f>VLOOKUP($A58,Questions!$A$3:$L$333,11,0)&amp;""</f>
        <v/>
      </c>
      <c r="E58" s="4" t="str">
        <f>VLOOKUP($A58,Questions!$A$3:$L$333,12,0)&amp;""</f>
        <v>Case-Specific</v>
      </c>
      <c r="F58" s="4" t="str">
        <f>VLOOKUP($A58,'Institution Evaluation'!$A$56:$K$345,3,0)&amp;""</f>
        <v>Yes</v>
      </c>
      <c r="G58" s="4" t="str">
        <f>VLOOKUP($A58,'Institution Evaluation'!$A$56:$K$345,7,0)&amp;""</f>
        <v>Yes</v>
      </c>
      <c r="H58" s="4" t="str">
        <f>VLOOKUP($A58,'Institution Evaluation'!$A$56:$K$345,8,0)&amp;""</f>
        <v/>
      </c>
      <c r="I58" s="4" t="str">
        <f>VLOOKUP($A58,'Institution Evaluation'!$A$56:$K$345,9,0)&amp;""</f>
        <v>Critical Importance</v>
      </c>
      <c r="J58" s="4" t="str">
        <f>VLOOKUP($A58,'Institution Evaluation'!$A$56:$K$345,10,0)&amp;""</f>
        <v/>
      </c>
      <c r="K58" s="4">
        <f>IF($I58='Auto Responses'!$J$11,20,IF($I58='Auto Responses'!$J$13,5,10))</f>
        <v>20</v>
      </c>
      <c r="L58" s="105">
        <f>IF($E58='Auto Responses'!$L$13, 'Auto Responses'!$J$5,IF(AND($D58='Auto Responses'!$J$27,$H58=""),'Auto Responses'!$J$5,IF(AND($D58='Auto Responses'!$J$27,$H58='Auto Responses'!$J$7),1,IF(AND($D58='Auto Responses'!$J$27,$H58='Auto Responses'!$J$8),0,IF(OR(AND($F58=$G58,$H58=""),$H58='Auto Responses'!$J$7),1,0)))))</f>
        <v>1</v>
      </c>
      <c r="M58" s="4" t="str">
        <f>VLOOKUP($A58,'Institution Evaluation'!$A$56:$K$345,11,0)&amp;""</f>
        <v>FALSE</v>
      </c>
      <c r="N58" s="4">
        <f>IF($J58='Auto Responses'!$J$11,1,IF(AND($J58="",$I58='Auto Responses'!$J$11),1,0))</f>
        <v>1</v>
      </c>
      <c r="O58" s="105">
        <f>IF(OR($F$19='Auto Responses'!$J$4,$E58='Auto Responses'!$L$13,$F58='Auto Responses'!$J$5),'Auto Responses'!$J$5,IF($J58="",$K58,IF($J58='Auto Responses'!$J$13,5,IF($J58='Auto Responses'!$J$12,10,IF($J58='Auto Responses'!$J$11,20,0)))))</f>
        <v>20</v>
      </c>
      <c r="P58" s="105">
        <f>IF(OR($O58='Auto Responses'!$J$5,$L58='Auto Responses'!$J$5),'Auto Responses'!$J$5,$O58*$L58)</f>
        <v>20</v>
      </c>
      <c r="Q58" s="105">
        <f t="shared" si="1"/>
        <v>0</v>
      </c>
      <c r="R58" s="105">
        <f t="shared" si="5"/>
        <v>0</v>
      </c>
      <c r="S58" s="105">
        <f t="shared" si="2"/>
        <v>0</v>
      </c>
      <c r="T58" s="105">
        <f t="shared" si="3"/>
        <v>1</v>
      </c>
      <c r="U58" s="105">
        <f t="shared" si="6"/>
        <v>14</v>
      </c>
      <c r="V58" s="105">
        <f t="shared" si="4"/>
        <v>14</v>
      </c>
    </row>
    <row r="59" spans="1:22" ht="56" x14ac:dyDescent="0.3">
      <c r="A59" s="4" t="str">
        <f>Questions!$A59</f>
        <v>CONS-05</v>
      </c>
      <c r="B59" s="4" t="str">
        <f t="shared" si="0"/>
        <v>CONS</v>
      </c>
      <c r="C59" s="4" t="str">
        <f>VLOOKUP($A59,Questions!$A$3:$L$333,2,0)&amp;""</f>
        <v>Will the consulting take place on-premises?</v>
      </c>
      <c r="D59" s="4" t="str">
        <f>VLOOKUP($A59,Questions!$A$3:$L$333,11,0)&amp;""</f>
        <v/>
      </c>
      <c r="E59" s="4" t="str">
        <f>VLOOKUP($A59,Questions!$A$3:$L$333,12,0)&amp;""</f>
        <v>Case-Specific</v>
      </c>
      <c r="F59" s="4" t="str">
        <f>VLOOKUP($A59,'Institution Evaluation'!$A$56:$K$345,3,0)&amp;""</f>
        <v>No</v>
      </c>
      <c r="G59" s="4" t="str">
        <f>VLOOKUP($A59,'Institution Evaluation'!$A$56:$K$345,7,0)&amp;""</f>
        <v>No</v>
      </c>
      <c r="H59" s="4" t="str">
        <f>VLOOKUP($A59,'Institution Evaluation'!$A$56:$K$345,8,0)&amp;""</f>
        <v/>
      </c>
      <c r="I59" s="4" t="str">
        <f>VLOOKUP($A59,'Institution Evaluation'!$A$56:$K$345,9,0)&amp;""</f>
        <v>Standard Importance</v>
      </c>
      <c r="J59" s="4" t="str">
        <f>VLOOKUP($A59,'Institution Evaluation'!$A$56:$K$345,10,0)&amp;""</f>
        <v/>
      </c>
      <c r="K59" s="4">
        <f>IF($I59='Auto Responses'!$J$11,20,IF($I59='Auto Responses'!$J$13,5,10))</f>
        <v>10</v>
      </c>
      <c r="L59" s="105">
        <f>IF($E59='Auto Responses'!$L$13, 'Auto Responses'!$J$5,IF(AND($D59='Auto Responses'!$J$27,$H59=""),'Auto Responses'!$J$5,IF(AND($D59='Auto Responses'!$J$27,$H59='Auto Responses'!$J$7),1,IF(AND($D59='Auto Responses'!$J$27,$H59='Auto Responses'!$J$8),0,IF(OR(AND($F59=$G59,$H59=""),$H59='Auto Responses'!$J$7),1,0)))))</f>
        <v>1</v>
      </c>
      <c r="M59" s="4" t="str">
        <f>VLOOKUP($A59,'Institution Evaluation'!$A$56:$K$345,11,0)&amp;""</f>
        <v>FALSE</v>
      </c>
      <c r="N59" s="4">
        <f>IF($J59='Auto Responses'!$J$11,1,IF(AND($J59="",$I59='Auto Responses'!$J$11),1,0))</f>
        <v>0</v>
      </c>
      <c r="O59" s="105">
        <f>IF(OR($F$19='Auto Responses'!$J$4,$E59='Auto Responses'!$L$13,$F59='Auto Responses'!$J$5),'Auto Responses'!$J$5,IF($J59="",$K59,IF($J59='Auto Responses'!$J$13,5,IF($J59='Auto Responses'!$J$12,10,IF($J59='Auto Responses'!$J$11,20,0)))))</f>
        <v>10</v>
      </c>
      <c r="P59" s="105">
        <f>IF(OR($O59='Auto Responses'!$J$5,$L59='Auto Responses'!$J$5),'Auto Responses'!$J$5,$O59*$L59)</f>
        <v>10</v>
      </c>
      <c r="Q59" s="105">
        <f t="shared" si="1"/>
        <v>0</v>
      </c>
      <c r="R59" s="105">
        <f t="shared" si="5"/>
        <v>0</v>
      </c>
      <c r="S59" s="105">
        <f t="shared" si="2"/>
        <v>0</v>
      </c>
      <c r="T59" s="105">
        <f t="shared" si="3"/>
        <v>0</v>
      </c>
      <c r="U59" s="105">
        <f t="shared" si="6"/>
        <v>14</v>
      </c>
      <c r="V59" s="105">
        <f t="shared" si="4"/>
        <v>0</v>
      </c>
    </row>
    <row r="60" spans="1:22" ht="56" x14ac:dyDescent="0.3">
      <c r="A60" s="4" t="str">
        <f>Questions!$A60</f>
        <v>CONS-06</v>
      </c>
      <c r="B60" s="4" t="str">
        <f t="shared" si="0"/>
        <v>CONS</v>
      </c>
      <c r="C60" s="4" t="str">
        <f>VLOOKUP($A60,Questions!$A$3:$L$333,2,0)&amp;""</f>
        <v>Will the consultant require access to hardware in the institution's data centers?</v>
      </c>
      <c r="D60" s="4" t="str">
        <f>VLOOKUP($A60,Questions!$A$3:$L$333,11,0)&amp;""</f>
        <v/>
      </c>
      <c r="E60" s="4" t="str">
        <f>VLOOKUP($A60,Questions!$A$3:$L$333,12,0)&amp;""</f>
        <v>Case-Specific</v>
      </c>
      <c r="F60" s="4" t="str">
        <f>VLOOKUP($A60,'Institution Evaluation'!$A$56:$K$345,3,0)&amp;""</f>
        <v>No</v>
      </c>
      <c r="G60" s="4" t="str">
        <f>VLOOKUP($A60,'Institution Evaluation'!$A$56:$K$345,7,0)&amp;""</f>
        <v>No</v>
      </c>
      <c r="H60" s="4" t="str">
        <f>VLOOKUP($A60,'Institution Evaluation'!$A$56:$K$345,8,0)&amp;""</f>
        <v/>
      </c>
      <c r="I60" s="4" t="str">
        <f>VLOOKUP($A60,'Institution Evaluation'!$A$56:$K$345,9,0)&amp;""</f>
        <v>Standard Importance</v>
      </c>
      <c r="J60" s="4" t="str">
        <f>VLOOKUP($A60,'Institution Evaluation'!$A$56:$K$345,10,0)&amp;""</f>
        <v/>
      </c>
      <c r="K60" s="4">
        <f>IF($I60='Auto Responses'!$J$11,20,IF($I60='Auto Responses'!$J$13,5,10))</f>
        <v>10</v>
      </c>
      <c r="L60" s="105">
        <f>IF($E60='Auto Responses'!$L$13, 'Auto Responses'!$J$5,IF(AND($D60='Auto Responses'!$J$27,$H60=""),'Auto Responses'!$J$5,IF(AND($D60='Auto Responses'!$J$27,$H60='Auto Responses'!$J$7),1,IF(AND($D60='Auto Responses'!$J$27,$H60='Auto Responses'!$J$8),0,IF(OR(AND($F60=$G60,$H60=""),$H60='Auto Responses'!$J$7),1,0)))))</f>
        <v>1</v>
      </c>
      <c r="M60" s="4" t="str">
        <f>VLOOKUP($A60,'Institution Evaluation'!$A$56:$K$345,11,0)&amp;""</f>
        <v>FALSE</v>
      </c>
      <c r="N60" s="4">
        <f>IF($J60='Auto Responses'!$J$11,1,IF(AND($J60="",$I60='Auto Responses'!$J$11),1,0))</f>
        <v>0</v>
      </c>
      <c r="O60" s="105">
        <f>IF(OR($F$19='Auto Responses'!$J$4,$E60='Auto Responses'!$L$13,$F60='Auto Responses'!$J$5),'Auto Responses'!$J$5,IF($J60="",$K60,IF($J60='Auto Responses'!$J$13,5,IF($J60='Auto Responses'!$J$12,10,IF($J60='Auto Responses'!$J$11,20,0)))))</f>
        <v>10</v>
      </c>
      <c r="P60" s="105">
        <f>IF(OR($O60='Auto Responses'!$J$5,$L60='Auto Responses'!$J$5),'Auto Responses'!$J$5,$O60*$L60)</f>
        <v>10</v>
      </c>
      <c r="Q60" s="105">
        <f t="shared" si="1"/>
        <v>0</v>
      </c>
      <c r="R60" s="105">
        <f t="shared" si="5"/>
        <v>0</v>
      </c>
      <c r="S60" s="105">
        <f t="shared" si="2"/>
        <v>0</v>
      </c>
      <c r="T60" s="105">
        <f t="shared" si="3"/>
        <v>0</v>
      </c>
      <c r="U60" s="105">
        <f t="shared" si="6"/>
        <v>14</v>
      </c>
      <c r="V60" s="105">
        <f t="shared" si="4"/>
        <v>0</v>
      </c>
    </row>
    <row r="61" spans="1:22" ht="56" x14ac:dyDescent="0.3">
      <c r="A61" s="4" t="str">
        <f>Questions!$A61</f>
        <v>CONS-07</v>
      </c>
      <c r="B61" s="4" t="str">
        <f t="shared" si="0"/>
        <v>CONS</v>
      </c>
      <c r="C61" s="4" t="str">
        <f>VLOOKUP($A61,Questions!$A$3:$L$333,2,0)&amp;""</f>
        <v>Will the consultant require an account within the institution's domain (@*.edu)?</v>
      </c>
      <c r="D61" s="4" t="str">
        <f>VLOOKUP($A61,Questions!$A$3:$L$333,11,0)&amp;""</f>
        <v/>
      </c>
      <c r="E61" s="4" t="str">
        <f>VLOOKUP($A61,Questions!$A$3:$L$333,12,0)&amp;""</f>
        <v>Case-Specific</v>
      </c>
      <c r="F61" s="4" t="str">
        <f>VLOOKUP($A61,'Institution Evaluation'!$A$56:$K$345,3,0)&amp;""</f>
        <v>No</v>
      </c>
      <c r="G61" s="4" t="str">
        <f>VLOOKUP($A61,'Institution Evaluation'!$A$56:$K$345,7,0)&amp;""</f>
        <v>No</v>
      </c>
      <c r="H61" s="4" t="str">
        <f>VLOOKUP($A61,'Institution Evaluation'!$A$56:$K$345,8,0)&amp;""</f>
        <v/>
      </c>
      <c r="I61" s="4" t="str">
        <f>VLOOKUP($A61,'Institution Evaluation'!$A$56:$K$345,9,0)&amp;""</f>
        <v>Standard Importance</v>
      </c>
      <c r="J61" s="4" t="str">
        <f>VLOOKUP($A61,'Institution Evaluation'!$A$56:$K$345,10,0)&amp;""</f>
        <v/>
      </c>
      <c r="K61" s="4">
        <f>IF($I61='Auto Responses'!$J$11,20,IF($I61='Auto Responses'!$J$13,5,10))</f>
        <v>10</v>
      </c>
      <c r="L61" s="105">
        <f>IF($E61='Auto Responses'!$L$13, 'Auto Responses'!$J$5,IF(AND($D61='Auto Responses'!$J$27,$H61=""),'Auto Responses'!$J$5,IF(AND($D61='Auto Responses'!$J$27,$H61='Auto Responses'!$J$7),1,IF(AND($D61='Auto Responses'!$J$27,$H61='Auto Responses'!$J$8),0,IF(OR(AND($F61=$G61,$H61=""),$H61='Auto Responses'!$J$7),1,0)))))</f>
        <v>1</v>
      </c>
      <c r="M61" s="4" t="str">
        <f>VLOOKUP($A61,'Institution Evaluation'!$A$56:$K$345,11,0)&amp;""</f>
        <v>FALSE</v>
      </c>
      <c r="N61" s="4">
        <f>IF($J61='Auto Responses'!$J$11,1,IF(AND($J61="",$I61='Auto Responses'!$J$11),1,0))</f>
        <v>0</v>
      </c>
      <c r="O61" s="105">
        <f>IF(OR($F$19='Auto Responses'!$J$4,$E61='Auto Responses'!$L$13,$F61='Auto Responses'!$J$5),'Auto Responses'!$J$5,IF($J61="",$K61,IF($J61='Auto Responses'!$J$13,5,IF($J61='Auto Responses'!$J$12,10,IF($J61='Auto Responses'!$J$11,20,0)))))</f>
        <v>10</v>
      </c>
      <c r="P61" s="105">
        <f>IF(OR($O61='Auto Responses'!$J$5,$L61='Auto Responses'!$J$5),'Auto Responses'!$J$5,$O61*$L61)</f>
        <v>10</v>
      </c>
      <c r="Q61" s="105">
        <f t="shared" si="1"/>
        <v>0</v>
      </c>
      <c r="R61" s="105">
        <f t="shared" si="5"/>
        <v>0</v>
      </c>
      <c r="S61" s="105">
        <f t="shared" si="2"/>
        <v>0</v>
      </c>
      <c r="T61" s="105">
        <f t="shared" si="3"/>
        <v>0</v>
      </c>
      <c r="U61" s="105">
        <f t="shared" si="6"/>
        <v>14</v>
      </c>
      <c r="V61" s="105">
        <f t="shared" si="4"/>
        <v>0</v>
      </c>
    </row>
    <row r="62" spans="1:22" ht="56" x14ac:dyDescent="0.3">
      <c r="A62" s="4" t="str">
        <f>Questions!$A62</f>
        <v>CONS-08</v>
      </c>
      <c r="B62" s="4" t="str">
        <f t="shared" si="0"/>
        <v>CONS</v>
      </c>
      <c r="C62" s="4" t="str">
        <f>VLOOKUP($A62,Questions!$A$3:$L$333,2,0)&amp;""</f>
        <v>Will any data be transferred to the consultant's possession?</v>
      </c>
      <c r="D62" s="4" t="str">
        <f>VLOOKUP($A62,Questions!$A$3:$L$333,11,0)&amp;""</f>
        <v/>
      </c>
      <c r="E62" s="4" t="str">
        <f>VLOOKUP($A62,Questions!$A$3:$L$333,12,0)&amp;""</f>
        <v>Case-Specific</v>
      </c>
      <c r="F62" s="4" t="str">
        <f>VLOOKUP($A62,'Institution Evaluation'!$A$56:$K$345,3,0)&amp;""</f>
        <v>No</v>
      </c>
      <c r="G62" s="4" t="str">
        <f>VLOOKUP($A62,'Institution Evaluation'!$A$56:$K$345,7,0)&amp;""</f>
        <v>No</v>
      </c>
      <c r="H62" s="4" t="str">
        <f>VLOOKUP($A62,'Institution Evaluation'!$A$56:$K$345,8,0)&amp;""</f>
        <v/>
      </c>
      <c r="I62" s="4" t="str">
        <f>VLOOKUP($A62,'Institution Evaluation'!$A$56:$K$345,9,0)&amp;""</f>
        <v>Standard Importance</v>
      </c>
      <c r="J62" s="4" t="str">
        <f>VLOOKUP($A62,'Institution Evaluation'!$A$56:$K$345,10,0)&amp;""</f>
        <v/>
      </c>
      <c r="K62" s="4">
        <f>IF($I62='Auto Responses'!$J$11,20,IF($I62='Auto Responses'!$J$13,5,10))</f>
        <v>10</v>
      </c>
      <c r="L62" s="105">
        <f>IF($E62='Auto Responses'!$L$13, 'Auto Responses'!$J$5,IF(AND($D62='Auto Responses'!$J$27,$H62=""),'Auto Responses'!$J$5,IF(AND($D62='Auto Responses'!$J$27,$H62='Auto Responses'!$J$7),1,IF(AND($D62='Auto Responses'!$J$27,$H62='Auto Responses'!$J$8),0,IF(OR(AND($F62=$G62,$H62=""),$H62='Auto Responses'!$J$7),1,0)))))</f>
        <v>1</v>
      </c>
      <c r="M62" s="4" t="str">
        <f>VLOOKUP($A62,'Institution Evaluation'!$A$56:$K$345,11,0)&amp;""</f>
        <v>FALSE</v>
      </c>
      <c r="N62" s="4">
        <f>IF($J62='Auto Responses'!$J$11,1,IF(AND($J62="",$I62='Auto Responses'!$J$11),1,0))</f>
        <v>0</v>
      </c>
      <c r="O62" s="105">
        <f>IF(OR($F$19='Auto Responses'!$J$4,$E62='Auto Responses'!$L$13,$F62='Auto Responses'!$J$5),'Auto Responses'!$J$5,IF($J62="",$K62,IF($J62='Auto Responses'!$J$13,5,IF($J62='Auto Responses'!$J$12,10,IF($J62='Auto Responses'!$J$11,20,0)))))</f>
        <v>10</v>
      </c>
      <c r="P62" s="105">
        <f>IF(OR($O62='Auto Responses'!$J$5,$L62='Auto Responses'!$J$5),'Auto Responses'!$J$5,$O62*$L62)</f>
        <v>10</v>
      </c>
      <c r="Q62" s="105">
        <f t="shared" si="1"/>
        <v>0</v>
      </c>
      <c r="R62" s="105">
        <f t="shared" si="5"/>
        <v>0</v>
      </c>
      <c r="S62" s="105">
        <f t="shared" si="2"/>
        <v>0</v>
      </c>
      <c r="T62" s="105">
        <f t="shared" si="3"/>
        <v>0</v>
      </c>
      <c r="U62" s="105">
        <f t="shared" si="6"/>
        <v>14</v>
      </c>
      <c r="V62" s="105">
        <f t="shared" si="4"/>
        <v>0</v>
      </c>
    </row>
    <row r="63" spans="1:22" ht="56" x14ac:dyDescent="0.3">
      <c r="A63" s="4" t="str">
        <f>Questions!$A63</f>
        <v>CONS-09</v>
      </c>
      <c r="B63" s="4" t="str">
        <f t="shared" si="0"/>
        <v>CONS</v>
      </c>
      <c r="C63" s="4" t="str">
        <f>VLOOKUP($A63,Questions!$A$3:$L$333,2,0)&amp;""</f>
        <v>Will the consultant need remote access to the institution's network or systems?</v>
      </c>
      <c r="D63" s="4" t="str">
        <f>VLOOKUP($A63,Questions!$A$3:$L$333,11,0)&amp;""</f>
        <v/>
      </c>
      <c r="E63" s="4" t="str">
        <f>VLOOKUP($A63,Questions!$A$3:$L$333,12,0)&amp;""</f>
        <v>Case-Specific</v>
      </c>
      <c r="F63" s="4" t="str">
        <f>VLOOKUP($A63,'Institution Evaluation'!$A$56:$K$345,3,0)&amp;""</f>
        <v>No</v>
      </c>
      <c r="G63" s="4" t="str">
        <f>VLOOKUP($A63,'Institution Evaluation'!$A$56:$K$345,7,0)&amp;""</f>
        <v>No</v>
      </c>
      <c r="H63" s="4" t="str">
        <f>VLOOKUP($A63,'Institution Evaluation'!$A$56:$K$345,8,0)&amp;""</f>
        <v/>
      </c>
      <c r="I63" s="4" t="str">
        <f>VLOOKUP($A63,'Institution Evaluation'!$A$56:$K$345,9,0)&amp;""</f>
        <v>Standard Importance</v>
      </c>
      <c r="J63" s="4" t="str">
        <f>VLOOKUP($A63,'Institution Evaluation'!$A$56:$K$345,10,0)&amp;""</f>
        <v/>
      </c>
      <c r="K63" s="4">
        <f>IF($I63='Auto Responses'!$J$11,20,IF($I63='Auto Responses'!$J$13,5,10))</f>
        <v>10</v>
      </c>
      <c r="L63" s="105">
        <f>IF($E63='Auto Responses'!$L$13, 'Auto Responses'!$J$5,IF(AND($D63='Auto Responses'!$J$27,$H63=""),'Auto Responses'!$J$5,IF(AND($D63='Auto Responses'!$J$27,$H63='Auto Responses'!$J$7),1,IF(AND($D63='Auto Responses'!$J$27,$H63='Auto Responses'!$J$8),0,IF(OR(AND($F63=$G63,$H63=""),$H63='Auto Responses'!$J$7),1,0)))))</f>
        <v>1</v>
      </c>
      <c r="M63" s="4" t="str">
        <f>VLOOKUP($A63,'Institution Evaluation'!$A$56:$K$345,11,0)&amp;""</f>
        <v>FALSE</v>
      </c>
      <c r="N63" s="4">
        <f>IF($J63='Auto Responses'!$J$11,1,IF(AND($J63="",$I63='Auto Responses'!$J$11),1,0))</f>
        <v>0</v>
      </c>
      <c r="O63" s="105">
        <f>IF(OR($F$19='Auto Responses'!$J$4,$E63='Auto Responses'!$L$13,$F63='Auto Responses'!$J$5),'Auto Responses'!$J$5,IF($J63="",$K63,IF($J63='Auto Responses'!$J$13,5,IF($J63='Auto Responses'!$J$12,10,IF($J63='Auto Responses'!$J$11,20,0)))))</f>
        <v>10</v>
      </c>
      <c r="P63" s="105">
        <f>IF(OR($O63='Auto Responses'!$J$5,$L63='Auto Responses'!$J$5),'Auto Responses'!$J$5,$O63*$L63)</f>
        <v>10</v>
      </c>
      <c r="Q63" s="105">
        <f t="shared" si="1"/>
        <v>0</v>
      </c>
      <c r="R63" s="105">
        <f t="shared" si="5"/>
        <v>0</v>
      </c>
      <c r="S63" s="105">
        <f t="shared" si="2"/>
        <v>0</v>
      </c>
      <c r="T63" s="105">
        <f t="shared" si="3"/>
        <v>0</v>
      </c>
      <c r="U63" s="105">
        <f t="shared" si="6"/>
        <v>14</v>
      </c>
      <c r="V63" s="105">
        <f t="shared" si="4"/>
        <v>0</v>
      </c>
    </row>
    <row r="64" spans="1:22" ht="56" x14ac:dyDescent="0.3">
      <c r="A64" s="4" t="str">
        <f>Questions!$A64</f>
        <v>APPL-01</v>
      </c>
      <c r="B64" s="4" t="str">
        <f t="shared" si="0"/>
        <v>APPL</v>
      </c>
      <c r="C64" s="4" t="str">
        <f>VLOOKUP($A64,Questions!$A$3:$L$333,2,0)&amp;""</f>
        <v>Are access controls for institutional accounts based on structured rules, such as role-based access control (RBAC), attribute-based access control (ABAC), or policy-based access control (PBAC)?*</v>
      </c>
      <c r="D64" s="4" t="str">
        <f>VLOOKUP($A64,Questions!$A$3:$L$333,11,0)&amp;""</f>
        <v/>
      </c>
      <c r="E64" s="4" t="str">
        <f>VLOOKUP($A64,Questions!$A$3:$L$333,12,0)&amp;""</f>
        <v>Infrastructure</v>
      </c>
      <c r="F64" s="4" t="str">
        <f>VLOOKUP($A64,'Institution Evaluation'!$A$56:$K$345,3,0)&amp;""</f>
        <v>Yes</v>
      </c>
      <c r="G64" s="4" t="str">
        <f>VLOOKUP($A64,'Institution Evaluation'!$A$56:$K$345,7,0)&amp;""</f>
        <v>Yes</v>
      </c>
      <c r="H64" s="4" t="str">
        <f>VLOOKUP($A64,'Institution Evaluation'!$A$56:$K$345,8,0)&amp;""</f>
        <v/>
      </c>
      <c r="I64" s="4" t="str">
        <f>VLOOKUP($A64,'Institution Evaluation'!$A$56:$K$345,9,0)&amp;""</f>
        <v>Critical Importance</v>
      </c>
      <c r="J64" s="4" t="str">
        <f>VLOOKUP($A64,'Institution Evaluation'!$A$56:$K$345,10,0)&amp;""</f>
        <v/>
      </c>
      <c r="K64" s="4">
        <f>IF($I64='Auto Responses'!$J$11,20,IF($I64='Auto Responses'!$J$13,5,10))</f>
        <v>20</v>
      </c>
      <c r="L64" s="105">
        <f>IF($E64='Auto Responses'!$L$13, 'Auto Responses'!$J$5,IF(AND($D64='Auto Responses'!$J$27,$H64=""),'Auto Responses'!$J$5,IF(AND($D64='Auto Responses'!$J$27,$H64='Auto Responses'!$J$7),1,IF(AND($D64='Auto Responses'!$J$27,$H64='Auto Responses'!$J$8),0,IF(OR(AND($F64=$G64,$H64=""),$H64='Auto Responses'!$J$7),1,0)))))</f>
        <v>1</v>
      </c>
      <c r="M64" s="4" t="str">
        <f>VLOOKUP($A64,'Institution Evaluation'!$A$56:$K$345,11,0)&amp;""</f>
        <v>FALSE</v>
      </c>
      <c r="N64" s="4">
        <f>IF($J64='Auto Responses'!$J$11,1,IF(AND($J64="",$I64='Auto Responses'!$J$11),1,0))</f>
        <v>1</v>
      </c>
      <c r="O64" s="105">
        <f>IF(OR($F$17='Auto Responses'!$J$4,$E64='Auto Responses'!$L$13,$F64='Auto Responses'!$J$5),'Auto Responses'!$J$5,IF($J64="",$K64,IF($J64='Auto Responses'!$J$13,5,IF($J64='Auto Responses'!$J$12,10,IF($J64='Auto Responses'!$J$11,20,0)))))</f>
        <v>20</v>
      </c>
      <c r="P64" s="105">
        <f>IF(OR($O64='Auto Responses'!$J$5,$L64='Auto Responses'!$J$5),'Auto Responses'!$J$5,$O64*$L64)</f>
        <v>20</v>
      </c>
      <c r="Q64" s="105">
        <f t="shared" si="1"/>
        <v>0</v>
      </c>
      <c r="R64" s="105">
        <f t="shared" si="5"/>
        <v>0</v>
      </c>
      <c r="S64" s="105">
        <f t="shared" si="2"/>
        <v>0</v>
      </c>
      <c r="T64" s="105">
        <f t="shared" si="3"/>
        <v>1</v>
      </c>
      <c r="U64" s="105">
        <f t="shared" si="6"/>
        <v>15</v>
      </c>
      <c r="V64" s="105">
        <f t="shared" si="4"/>
        <v>15</v>
      </c>
    </row>
    <row r="65" spans="1:22" ht="56" x14ac:dyDescent="0.3">
      <c r="A65" s="4" t="str">
        <f>Questions!$A65</f>
        <v>APPL-02</v>
      </c>
      <c r="B65" s="4" t="str">
        <f t="shared" si="0"/>
        <v>APPL</v>
      </c>
      <c r="C65" s="4" t="str">
        <f>VLOOKUP($A65,Questions!$A$3:$L$333,2,0)&amp;""</f>
        <v>Are you using a web application firewall (WAF)?*</v>
      </c>
      <c r="D65" s="4" t="str">
        <f>VLOOKUP($A65,Questions!$A$3:$L$333,11,0)&amp;""</f>
        <v/>
      </c>
      <c r="E65" s="4" t="str">
        <f>VLOOKUP($A65,Questions!$A$3:$L$333,12,0)&amp;""</f>
        <v>Infrastructure</v>
      </c>
      <c r="F65" s="4" t="str">
        <f>VLOOKUP($A65,'Institution Evaluation'!$A$56:$K$345,3,0)&amp;""</f>
        <v>Yes</v>
      </c>
      <c r="G65" s="4" t="str">
        <f>VLOOKUP($A65,'Institution Evaluation'!$A$56:$K$345,7,0)&amp;""</f>
        <v>Yes</v>
      </c>
      <c r="H65" s="4" t="str">
        <f>VLOOKUP($A65,'Institution Evaluation'!$A$56:$K$345,8,0)&amp;""</f>
        <v/>
      </c>
      <c r="I65" s="4" t="str">
        <f>VLOOKUP($A65,'Institution Evaluation'!$A$56:$K$345,9,0)&amp;""</f>
        <v>Critical Importance</v>
      </c>
      <c r="J65" s="4" t="str">
        <f>VLOOKUP($A65,'Institution Evaluation'!$A$56:$K$345,10,0)&amp;""</f>
        <v/>
      </c>
      <c r="K65" s="4">
        <f>IF($I65='Auto Responses'!$J$11,20,IF($I65='Auto Responses'!$J$13,5,10))</f>
        <v>20</v>
      </c>
      <c r="L65" s="105">
        <f>IF($E65='Auto Responses'!$L$13, 'Auto Responses'!$J$5,IF(AND($D65='Auto Responses'!$J$27,$H65=""),'Auto Responses'!$J$5,IF(AND($D65='Auto Responses'!$J$27,$H65='Auto Responses'!$J$7),1,IF(AND($D65='Auto Responses'!$J$27,$H65='Auto Responses'!$J$8),0,IF(OR(AND($F65=$G65,$H65=""),$H65='Auto Responses'!$J$7),1,0)))))</f>
        <v>1</v>
      </c>
      <c r="M65" s="4" t="str">
        <f>VLOOKUP($A65,'Institution Evaluation'!$A$56:$K$345,11,0)&amp;""</f>
        <v>FALSE</v>
      </c>
      <c r="N65" s="4">
        <f>IF($J65='Auto Responses'!$J$11,1,IF(AND($J65="",$I65='Auto Responses'!$J$11),1,0))</f>
        <v>1</v>
      </c>
      <c r="O65" s="105">
        <f>IF(OR($F$17='Auto Responses'!$J$4,$E65='Auto Responses'!$L$13,$F65='Auto Responses'!$J$5),'Auto Responses'!$J$5,IF($J65="",$K65,IF($J65='Auto Responses'!$J$13,5,IF($J65='Auto Responses'!$J$12,10,IF($J65='Auto Responses'!$J$11,20,0)))))</f>
        <v>20</v>
      </c>
      <c r="P65" s="105">
        <f>IF(OR($O65='Auto Responses'!$J$5,$L65='Auto Responses'!$J$5),'Auto Responses'!$J$5,$O65*$L65)</f>
        <v>20</v>
      </c>
      <c r="Q65" s="105">
        <f t="shared" si="1"/>
        <v>0</v>
      </c>
      <c r="R65" s="105">
        <f t="shared" si="5"/>
        <v>0</v>
      </c>
      <c r="S65" s="105">
        <f t="shared" si="2"/>
        <v>0</v>
      </c>
      <c r="T65" s="105">
        <f t="shared" si="3"/>
        <v>1</v>
      </c>
      <c r="U65" s="105">
        <f t="shared" si="6"/>
        <v>16</v>
      </c>
      <c r="V65" s="105">
        <f t="shared" si="4"/>
        <v>16</v>
      </c>
    </row>
    <row r="66" spans="1:22" ht="56" x14ac:dyDescent="0.3">
      <c r="A66" s="4" t="str">
        <f>Questions!$A66</f>
        <v>APPL-03</v>
      </c>
      <c r="B66" s="4" t="str">
        <f t="shared" si="0"/>
        <v>APPL</v>
      </c>
      <c r="C66" s="4" t="str">
        <f>VLOOKUP($A66,Questions!$A$3:$L$333,2,0)&amp;""</f>
        <v>Are only currently supported operating system(s), software, and libraries leveraged by the system(s)/application(s) that will have access to institution's data?*</v>
      </c>
      <c r="D66" s="4" t="str">
        <f>VLOOKUP($A66,Questions!$A$3:$L$333,11,0)&amp;""</f>
        <v/>
      </c>
      <c r="E66" s="4" t="str">
        <f>VLOOKUP($A66,Questions!$A$3:$L$333,12,0)&amp;""</f>
        <v>Infrastructure</v>
      </c>
      <c r="F66" s="4" t="str">
        <f>VLOOKUP($A66,'Institution Evaluation'!$A$56:$K$345,3,0)&amp;""</f>
        <v>Yes</v>
      </c>
      <c r="G66" s="4" t="str">
        <f>VLOOKUP($A66,'Institution Evaluation'!$A$56:$K$345,7,0)&amp;""</f>
        <v>Yes</v>
      </c>
      <c r="H66" s="4" t="str">
        <f>VLOOKUP($A66,'Institution Evaluation'!$A$56:$K$345,8,0)&amp;""</f>
        <v/>
      </c>
      <c r="I66" s="4" t="str">
        <f>VLOOKUP($A66,'Institution Evaluation'!$A$56:$K$345,9,0)&amp;""</f>
        <v>Critical Importance</v>
      </c>
      <c r="J66" s="4" t="str">
        <f>VLOOKUP($A66,'Institution Evaluation'!$A$56:$K$345,10,0)&amp;""</f>
        <v/>
      </c>
      <c r="K66" s="4">
        <f>IF($I66='Auto Responses'!$J$11,20,IF($I66='Auto Responses'!$J$13,5,10))</f>
        <v>20</v>
      </c>
      <c r="L66" s="105">
        <f>IF($E66='Auto Responses'!$L$13, 'Auto Responses'!$J$5,IF(AND($D66='Auto Responses'!$J$27,$H66=""),'Auto Responses'!$J$5,IF(AND($D66='Auto Responses'!$J$27,$H66='Auto Responses'!$J$7),1,IF(AND($D66='Auto Responses'!$J$27,$H66='Auto Responses'!$J$8),0,IF(OR(AND($F66=$G66,$H66=""),$H66='Auto Responses'!$J$7),1,0)))))</f>
        <v>1</v>
      </c>
      <c r="M66" s="4" t="str">
        <f>VLOOKUP($A66,'Institution Evaluation'!$A$56:$K$345,11,0)&amp;""</f>
        <v>FALSE</v>
      </c>
      <c r="N66" s="4">
        <f>IF($J66='Auto Responses'!$J$11,1,IF(AND($J66="",$I66='Auto Responses'!$J$11),1,0))</f>
        <v>1</v>
      </c>
      <c r="O66" s="105">
        <f>IF(OR($F$17='Auto Responses'!$J$4,$E66='Auto Responses'!$L$13,$F66='Auto Responses'!$J$5),'Auto Responses'!$J$5,IF($J66="",$K66,IF($J66='Auto Responses'!$J$13,5,IF($J66='Auto Responses'!$J$12,10,IF($J66='Auto Responses'!$J$11,20,0)))))</f>
        <v>20</v>
      </c>
      <c r="P66" s="105">
        <f>IF(OR($O66='Auto Responses'!$J$5,$L66='Auto Responses'!$J$5),'Auto Responses'!$J$5,$O66*$L66)</f>
        <v>20</v>
      </c>
      <c r="Q66" s="105">
        <f t="shared" si="1"/>
        <v>0</v>
      </c>
      <c r="R66" s="105">
        <f t="shared" si="5"/>
        <v>0</v>
      </c>
      <c r="S66" s="105">
        <f t="shared" si="2"/>
        <v>0</v>
      </c>
      <c r="T66" s="105">
        <f t="shared" si="3"/>
        <v>1</v>
      </c>
      <c r="U66" s="105">
        <f t="shared" si="6"/>
        <v>17</v>
      </c>
      <c r="V66" s="105">
        <f t="shared" si="4"/>
        <v>17</v>
      </c>
    </row>
    <row r="67" spans="1:22" ht="56" x14ac:dyDescent="0.3">
      <c r="A67" s="4" t="str">
        <f>Questions!$A67</f>
        <v>APPL-04</v>
      </c>
      <c r="B67" s="4" t="str">
        <f t="shared" si="0"/>
        <v>APPL</v>
      </c>
      <c r="C67" s="4" t="str">
        <f>VLOOKUP($A67,Questions!$A$3:$L$333,2,0)&amp;""</f>
        <v>Does your application require access to location or GPS data?*</v>
      </c>
      <c r="D67" s="4" t="str">
        <f>VLOOKUP($A67,Questions!$A$3:$L$333,11,0)&amp;""</f>
        <v/>
      </c>
      <c r="E67" s="4" t="str">
        <f>VLOOKUP($A67,Questions!$A$3:$L$333,12,0)&amp;""</f>
        <v>Infrastructure</v>
      </c>
      <c r="F67" s="4" t="str">
        <f>VLOOKUP($A67,'Institution Evaluation'!$A$56:$K$345,3,0)&amp;""</f>
        <v>No</v>
      </c>
      <c r="G67" s="4" t="str">
        <f>VLOOKUP($A67,'Institution Evaluation'!$A$56:$K$345,7,0)&amp;""</f>
        <v>No</v>
      </c>
      <c r="H67" s="4" t="str">
        <f>VLOOKUP($A67,'Institution Evaluation'!$A$56:$K$345,8,0)&amp;""</f>
        <v/>
      </c>
      <c r="I67" s="4" t="str">
        <f>VLOOKUP($A67,'Institution Evaluation'!$A$56:$K$345,9,0)&amp;""</f>
        <v>Critical Importance</v>
      </c>
      <c r="J67" s="4" t="str">
        <f>VLOOKUP($A67,'Institution Evaluation'!$A$56:$K$345,10,0)&amp;""</f>
        <v/>
      </c>
      <c r="K67" s="4">
        <f>IF($I67='Auto Responses'!$J$11,20,IF($I67='Auto Responses'!$J$13,5,10))</f>
        <v>20</v>
      </c>
      <c r="L67" s="105">
        <f>IF($E67='Auto Responses'!$L$13, 'Auto Responses'!$J$5,IF(AND($D67='Auto Responses'!$J$27,$H67=""),'Auto Responses'!$J$5,IF(AND($D67='Auto Responses'!$J$27,$H67='Auto Responses'!$J$7),1,IF(AND($D67='Auto Responses'!$J$27,$H67='Auto Responses'!$J$8),0,IF(OR(AND($F67=$G67,$H67=""),$H67='Auto Responses'!$J$7),1,0)))))</f>
        <v>1</v>
      </c>
      <c r="M67" s="4" t="str">
        <f>VLOOKUP($A67,'Institution Evaluation'!$A$56:$K$345,11,0)&amp;""</f>
        <v>FALSE</v>
      </c>
      <c r="N67" s="4">
        <f>IF($J67='Auto Responses'!$J$11,1,IF(AND($J67="",$I67='Auto Responses'!$J$11),1,0))</f>
        <v>1</v>
      </c>
      <c r="O67" s="105">
        <f>IF(OR($F$17='Auto Responses'!$J$4,$E67='Auto Responses'!$L$13,$F67='Auto Responses'!$J$5),'Auto Responses'!$J$5,IF($J67="",$K67,IF($J67='Auto Responses'!$J$13,5,IF($J67='Auto Responses'!$J$12,10,IF($J67='Auto Responses'!$J$11,20,0)))))</f>
        <v>20</v>
      </c>
      <c r="P67" s="105">
        <f>IF(OR($O67='Auto Responses'!$J$5,$L67='Auto Responses'!$J$5),'Auto Responses'!$J$5,$O67*$L67)</f>
        <v>20</v>
      </c>
      <c r="Q67" s="105">
        <f t="shared" ref="Q67:Q129" si="7">IF(M67="TRUE",1,0)</f>
        <v>0</v>
      </c>
      <c r="R67" s="105">
        <f t="shared" si="5"/>
        <v>0</v>
      </c>
      <c r="S67" s="105">
        <f t="shared" ref="S67:S129" si="8">IF(Q67=0,0,R67)</f>
        <v>0</v>
      </c>
      <c r="T67" s="105">
        <f t="shared" ref="T67:T129" si="9">IF(N67=1,1,0)</f>
        <v>1</v>
      </c>
      <c r="U67" s="105">
        <f t="shared" si="6"/>
        <v>18</v>
      </c>
      <c r="V67" s="105">
        <f t="shared" ref="V67:V129" si="10">IF(T67=0,0,U67)</f>
        <v>18</v>
      </c>
    </row>
    <row r="68" spans="1:22" ht="56" x14ac:dyDescent="0.3">
      <c r="A68" s="4" t="str">
        <f>Questions!$A68</f>
        <v>APPL-05</v>
      </c>
      <c r="B68" s="4" t="str">
        <f t="shared" ref="B68:B130" si="11">LEFT(A68,4)</f>
        <v>APPL</v>
      </c>
      <c r="C68" s="4" t="str">
        <f>VLOOKUP($A68,Questions!$A$3:$L$333,2,0)&amp;""</f>
        <v>Does your application provide separation of duties between security administration, system administration, and standard user functions?*</v>
      </c>
      <c r="D68" s="4" t="str">
        <f>VLOOKUP($A68,Questions!$A$3:$L$333,11,0)&amp;""</f>
        <v/>
      </c>
      <c r="E68" s="4" t="str">
        <f>VLOOKUP($A68,Questions!$A$3:$L$333,12,0)&amp;""</f>
        <v>Infrastructure</v>
      </c>
      <c r="F68" s="4" t="str">
        <f>VLOOKUP($A68,'Institution Evaluation'!$A$56:$K$345,3,0)&amp;""</f>
        <v>Yes</v>
      </c>
      <c r="G68" s="4" t="str">
        <f>VLOOKUP($A68,'Institution Evaluation'!$A$56:$K$345,7,0)&amp;""</f>
        <v>Yes</v>
      </c>
      <c r="H68" s="4" t="str">
        <f>VLOOKUP($A68,'Institution Evaluation'!$A$56:$K$345,8,0)&amp;""</f>
        <v/>
      </c>
      <c r="I68" s="4" t="str">
        <f>VLOOKUP($A68,'Institution Evaluation'!$A$56:$K$345,9,0)&amp;""</f>
        <v>Critical Importance</v>
      </c>
      <c r="J68" s="4" t="str">
        <f>VLOOKUP($A68,'Institution Evaluation'!$A$56:$K$345,10,0)&amp;""</f>
        <v/>
      </c>
      <c r="K68" s="4">
        <f>IF($I68='Auto Responses'!$J$11,20,IF($I68='Auto Responses'!$J$13,5,10))</f>
        <v>20</v>
      </c>
      <c r="L68" s="105">
        <f>IF($E68='Auto Responses'!$L$13, 'Auto Responses'!$J$5,IF(AND($D68='Auto Responses'!$J$27,$H68=""),'Auto Responses'!$J$5,IF(AND($D68='Auto Responses'!$J$27,$H68='Auto Responses'!$J$7),1,IF(AND($D68='Auto Responses'!$J$27,$H68='Auto Responses'!$J$8),0,IF(OR(AND($F68=$G68,$H68=""),$H68='Auto Responses'!$J$7),1,0)))))</f>
        <v>1</v>
      </c>
      <c r="M68" s="4" t="str">
        <f>VLOOKUP($A68,'Institution Evaluation'!$A$56:$K$345,11,0)&amp;""</f>
        <v>FALSE</v>
      </c>
      <c r="N68" s="4">
        <f>IF($J68='Auto Responses'!$J$11,1,IF(AND($J68="",$I68='Auto Responses'!$J$11),1,0))</f>
        <v>1</v>
      </c>
      <c r="O68" s="105">
        <f>IF(OR($F$17='Auto Responses'!$J$4,$E68='Auto Responses'!$L$13,$F68='Auto Responses'!$J$5),'Auto Responses'!$J$5,IF($J68="",$K68,IF($J68='Auto Responses'!$J$13,5,IF($J68='Auto Responses'!$J$12,10,IF($J68='Auto Responses'!$J$11,20,0)))))</f>
        <v>20</v>
      </c>
      <c r="P68" s="105">
        <f>IF(OR($O68='Auto Responses'!$J$5,$L68='Auto Responses'!$J$5),'Auto Responses'!$J$5,$O68*$L68)</f>
        <v>20</v>
      </c>
      <c r="Q68" s="105">
        <f t="shared" si="7"/>
        <v>0</v>
      </c>
      <c r="R68" s="105">
        <f t="shared" si="5"/>
        <v>0</v>
      </c>
      <c r="S68" s="105">
        <f t="shared" si="8"/>
        <v>0</v>
      </c>
      <c r="T68" s="105">
        <f t="shared" si="9"/>
        <v>1</v>
      </c>
      <c r="U68" s="105">
        <f t="shared" si="6"/>
        <v>19</v>
      </c>
      <c r="V68" s="105">
        <f t="shared" si="10"/>
        <v>19</v>
      </c>
    </row>
    <row r="69" spans="1:22" ht="56" x14ac:dyDescent="0.3">
      <c r="A69" s="4" t="str">
        <f>Questions!$A69</f>
        <v>APPL-06</v>
      </c>
      <c r="B69" s="4" t="str">
        <f t="shared" si="11"/>
        <v>APPL</v>
      </c>
      <c r="C69" s="4" t="str">
        <f>VLOOKUP($A69,Questions!$A$3:$L$333,2,0)&amp;""</f>
        <v>Do you subject your code to static code analysis and/or static application security testing prior to release?*</v>
      </c>
      <c r="D69" s="4" t="str">
        <f>VLOOKUP($A69,Questions!$A$3:$L$333,11,0)&amp;""</f>
        <v/>
      </c>
      <c r="E69" s="4" t="str">
        <f>VLOOKUP($A69,Questions!$A$3:$L$333,12,0)&amp;""</f>
        <v>Infrastructure</v>
      </c>
      <c r="F69" s="4" t="str">
        <f>VLOOKUP($A69,'Institution Evaluation'!$A$56:$K$345,3,0)&amp;""</f>
        <v>Yes</v>
      </c>
      <c r="G69" s="4" t="str">
        <f>VLOOKUP($A69,'Institution Evaluation'!$A$56:$K$345,7,0)&amp;""</f>
        <v>Yes</v>
      </c>
      <c r="H69" s="4" t="str">
        <f>VLOOKUP($A69,'Institution Evaluation'!$A$56:$K$345,8,0)&amp;""</f>
        <v/>
      </c>
      <c r="I69" s="4" t="str">
        <f>VLOOKUP($A69,'Institution Evaluation'!$A$56:$K$345,9,0)&amp;""</f>
        <v>Critical Importance</v>
      </c>
      <c r="J69" s="4" t="str">
        <f>VLOOKUP($A69,'Institution Evaluation'!$A$56:$K$345,10,0)&amp;""</f>
        <v/>
      </c>
      <c r="K69" s="4">
        <f>IF($I69='Auto Responses'!$J$11,20,IF($I69='Auto Responses'!$J$13,5,10))</f>
        <v>20</v>
      </c>
      <c r="L69" s="105">
        <f>IF($E69='Auto Responses'!$L$13, 'Auto Responses'!$J$5,IF(AND($D69='Auto Responses'!$J$27,$H69=""),'Auto Responses'!$J$5,IF(AND($D69='Auto Responses'!$J$27,$H69='Auto Responses'!$J$7),1,IF(AND($D69='Auto Responses'!$J$27,$H69='Auto Responses'!$J$8),0,IF(OR(AND($F69=$G69,$H69=""),$H69='Auto Responses'!$J$7),1,0)))))</f>
        <v>1</v>
      </c>
      <c r="M69" s="4" t="str">
        <f>VLOOKUP($A69,'Institution Evaluation'!$A$56:$K$345,11,0)&amp;""</f>
        <v>FALSE</v>
      </c>
      <c r="N69" s="4">
        <f>IF($J69='Auto Responses'!$J$11,1,IF(AND($J69="",$I69='Auto Responses'!$J$11),1,0))</f>
        <v>1</v>
      </c>
      <c r="O69" s="105">
        <f>IF(OR($F$17='Auto Responses'!$J$4,$E69='Auto Responses'!$L$13,$F69='Auto Responses'!$J$5),'Auto Responses'!$J$5,IF($J69="",$K69,IF($J69='Auto Responses'!$J$13,5,IF($J69='Auto Responses'!$J$12,10,IF($J69='Auto Responses'!$J$11,20,0)))))</f>
        <v>20</v>
      </c>
      <c r="P69" s="105">
        <f>IF(OR($O69='Auto Responses'!$J$5,$L69='Auto Responses'!$J$5),'Auto Responses'!$J$5,$O69*$L69)</f>
        <v>20</v>
      </c>
      <c r="Q69" s="105">
        <f t="shared" si="7"/>
        <v>0</v>
      </c>
      <c r="R69" s="105">
        <f t="shared" ref="R69:R132" si="12">R68+Q69</f>
        <v>0</v>
      </c>
      <c r="S69" s="105">
        <f t="shared" si="8"/>
        <v>0</v>
      </c>
      <c r="T69" s="105">
        <f t="shared" si="9"/>
        <v>1</v>
      </c>
      <c r="U69" s="105">
        <f t="shared" ref="U69:U132" si="13">U68+T69</f>
        <v>20</v>
      </c>
      <c r="V69" s="105">
        <f t="shared" si="10"/>
        <v>20</v>
      </c>
    </row>
    <row r="70" spans="1:22" ht="56" x14ac:dyDescent="0.3">
      <c r="A70" s="4" t="str">
        <f>Questions!$A70</f>
        <v>APPL-07</v>
      </c>
      <c r="B70" s="4" t="str">
        <f t="shared" si="11"/>
        <v>APPL</v>
      </c>
      <c r="C70" s="4" t="str">
        <f>VLOOKUP($A70,Questions!$A$3:$L$333,2,0)&amp;""</f>
        <v>Do you have software testing processes (dynamic or static) that are established and followed?*</v>
      </c>
      <c r="D70" s="4" t="str">
        <f>VLOOKUP($A70,Questions!$A$3:$L$333,11,0)&amp;""</f>
        <v/>
      </c>
      <c r="E70" s="4" t="str">
        <f>VLOOKUP($A70,Questions!$A$3:$L$333,12,0)&amp;""</f>
        <v>Infrastructure</v>
      </c>
      <c r="F70" s="4" t="str">
        <f>VLOOKUP($A70,'Institution Evaluation'!$A$56:$K$345,3,0)&amp;""</f>
        <v>Yes</v>
      </c>
      <c r="G70" s="4" t="str">
        <f>VLOOKUP($A70,'Institution Evaluation'!$A$56:$K$345,7,0)&amp;""</f>
        <v>Yes</v>
      </c>
      <c r="H70" s="4" t="str">
        <f>VLOOKUP($A70,'Institution Evaluation'!$A$56:$K$345,8,0)&amp;""</f>
        <v/>
      </c>
      <c r="I70" s="4" t="str">
        <f>VLOOKUP($A70,'Institution Evaluation'!$A$56:$K$345,9,0)&amp;""</f>
        <v>Critical Importance</v>
      </c>
      <c r="J70" s="4" t="str">
        <f>VLOOKUP($A70,'Institution Evaluation'!$A$56:$K$345,10,0)&amp;""</f>
        <v/>
      </c>
      <c r="K70" s="4">
        <f>IF($I70='Auto Responses'!$J$11,20,IF($I70='Auto Responses'!$J$13,5,10))</f>
        <v>20</v>
      </c>
      <c r="L70" s="105">
        <f>IF($E70='Auto Responses'!$L$13, 'Auto Responses'!$J$5,IF(AND($D70='Auto Responses'!$J$27,$H70=""),'Auto Responses'!$J$5,IF(AND($D70='Auto Responses'!$J$27,$H70='Auto Responses'!$J$7),1,IF(AND($D70='Auto Responses'!$J$27,$H70='Auto Responses'!$J$8),0,IF(OR(AND($F70=$G70,$H70=""),$H70='Auto Responses'!$J$7),1,0)))))</f>
        <v>1</v>
      </c>
      <c r="M70" s="4" t="str">
        <f>VLOOKUP($A70,'Institution Evaluation'!$A$56:$K$345,11,0)&amp;""</f>
        <v>FALSE</v>
      </c>
      <c r="N70" s="4">
        <f>IF($J70='Auto Responses'!$J$11,1,IF(AND($J70="",$I70='Auto Responses'!$J$11),1,0))</f>
        <v>1</v>
      </c>
      <c r="O70" s="105">
        <f>IF(OR($F$17='Auto Responses'!$J$4,$E70='Auto Responses'!$L$13,$F70='Auto Responses'!$J$5),'Auto Responses'!$J$5,IF($J70="",$K70,IF($J70='Auto Responses'!$J$13,5,IF($J70='Auto Responses'!$J$12,10,IF($J70='Auto Responses'!$J$11,20,0)))))</f>
        <v>20</v>
      </c>
      <c r="P70" s="105">
        <f>IF(OR($O70='Auto Responses'!$J$5,$L70='Auto Responses'!$J$5),'Auto Responses'!$J$5,$O70*$L70)</f>
        <v>20</v>
      </c>
      <c r="Q70" s="105">
        <f t="shared" si="7"/>
        <v>0</v>
      </c>
      <c r="R70" s="105">
        <f t="shared" si="12"/>
        <v>0</v>
      </c>
      <c r="S70" s="105">
        <f t="shared" si="8"/>
        <v>0</v>
      </c>
      <c r="T70" s="105">
        <f t="shared" si="9"/>
        <v>1</v>
      </c>
      <c r="U70" s="105">
        <f t="shared" si="13"/>
        <v>21</v>
      </c>
      <c r="V70" s="105">
        <f t="shared" si="10"/>
        <v>21</v>
      </c>
    </row>
    <row r="71" spans="1:22" ht="56" x14ac:dyDescent="0.3">
      <c r="A71" s="4" t="str">
        <f>Questions!$A71</f>
        <v>APPL-08</v>
      </c>
      <c r="B71" s="4" t="str">
        <f t="shared" si="11"/>
        <v>APPL</v>
      </c>
      <c r="C71" s="4" t="str">
        <f>VLOOKUP($A71,Questions!$A$3:$L$333,2,0)&amp;""</f>
        <v>Are access controls for staff within your organization based on structured rules, such as RBAC, ABAC, or PBAC?</v>
      </c>
      <c r="D71" s="4" t="str">
        <f>VLOOKUP($A71,Questions!$A$3:$L$333,11,0)&amp;""</f>
        <v/>
      </c>
      <c r="E71" s="4" t="str">
        <f>VLOOKUP($A71,Questions!$A$3:$L$333,12,0)&amp;""</f>
        <v>Infrastructure</v>
      </c>
      <c r="F71" s="4" t="str">
        <f>VLOOKUP($A71,'Institution Evaluation'!$A$56:$K$345,3,0)&amp;""</f>
        <v>Yes</v>
      </c>
      <c r="G71" s="4" t="str">
        <f>VLOOKUP($A71,'Institution Evaluation'!$A$56:$K$345,7,0)&amp;""</f>
        <v>Yes</v>
      </c>
      <c r="H71" s="4" t="str">
        <f>VLOOKUP($A71,'Institution Evaluation'!$A$56:$K$345,8,0)&amp;""</f>
        <v/>
      </c>
      <c r="I71" s="4" t="str">
        <f>VLOOKUP($A71,'Institution Evaluation'!$A$56:$K$345,9,0)&amp;""</f>
        <v>Standard Importance</v>
      </c>
      <c r="J71" s="4" t="str">
        <f>VLOOKUP($A71,'Institution Evaluation'!$A$56:$K$345,10,0)&amp;""</f>
        <v/>
      </c>
      <c r="K71" s="4">
        <f>IF($I71='Auto Responses'!$J$11,20,IF($I71='Auto Responses'!$J$13,5,10))</f>
        <v>10</v>
      </c>
      <c r="L71" s="105">
        <f>IF($E71='Auto Responses'!$L$13, 'Auto Responses'!$J$5,IF(AND($D71='Auto Responses'!$J$27,$H71=""),'Auto Responses'!$J$5,IF(AND($D71='Auto Responses'!$J$27,$H71='Auto Responses'!$J$7),1,IF(AND($D71='Auto Responses'!$J$27,$H71='Auto Responses'!$J$8),0,IF(OR(AND($F71=$G71,$H71=""),$H71='Auto Responses'!$J$7),1,0)))))</f>
        <v>1</v>
      </c>
      <c r="M71" s="4" t="str">
        <f>VLOOKUP($A71,'Institution Evaluation'!$A$56:$K$345,11,0)&amp;""</f>
        <v>FALSE</v>
      </c>
      <c r="N71" s="4">
        <f>IF($J71='Auto Responses'!$J$11,1,IF(AND($J71="",$I71='Auto Responses'!$J$11),1,0))</f>
        <v>0</v>
      </c>
      <c r="O71" s="105">
        <f>IF(OR($F$17='Auto Responses'!$J$4,$E71='Auto Responses'!$L$13,$F71='Auto Responses'!$J$5),'Auto Responses'!$J$5,IF($J71="",$K71,IF($J71='Auto Responses'!$J$13,5,IF($J71='Auto Responses'!$J$12,10,IF($J71='Auto Responses'!$J$11,20,0)))))</f>
        <v>10</v>
      </c>
      <c r="P71" s="105">
        <f>IF(OR($O71='Auto Responses'!$J$5,$L71='Auto Responses'!$J$5),'Auto Responses'!$J$5,$O71*$L71)</f>
        <v>10</v>
      </c>
      <c r="Q71" s="105">
        <f t="shared" si="7"/>
        <v>0</v>
      </c>
      <c r="R71" s="105">
        <f t="shared" si="12"/>
        <v>0</v>
      </c>
      <c r="S71" s="105">
        <f t="shared" si="8"/>
        <v>0</v>
      </c>
      <c r="T71" s="105">
        <f t="shared" si="9"/>
        <v>0</v>
      </c>
      <c r="U71" s="105">
        <f t="shared" si="13"/>
        <v>21</v>
      </c>
      <c r="V71" s="105">
        <f t="shared" si="10"/>
        <v>0</v>
      </c>
    </row>
    <row r="72" spans="1:22" ht="56" x14ac:dyDescent="0.3">
      <c r="A72" s="4" t="str">
        <f>Questions!$A72</f>
        <v>APPL-09</v>
      </c>
      <c r="B72" s="4" t="str">
        <f t="shared" si="11"/>
        <v>APPL</v>
      </c>
      <c r="C72" s="4" t="str">
        <f>VLOOKUP($A72,Questions!$A$3:$L$333,2,0)&amp;""</f>
        <v>Does the system provide data input validation and error messages?</v>
      </c>
      <c r="D72" s="4" t="str">
        <f>VLOOKUP($A72,Questions!$A$3:$L$333,11,0)&amp;""</f>
        <v/>
      </c>
      <c r="E72" s="4" t="str">
        <f>VLOOKUP($A72,Questions!$A$3:$L$333,12,0)&amp;""</f>
        <v>Infrastructure</v>
      </c>
      <c r="F72" s="4" t="str">
        <f>VLOOKUP($A72,'Institution Evaluation'!$A$56:$K$345,3,0)&amp;""</f>
        <v>Yes</v>
      </c>
      <c r="G72" s="4" t="str">
        <f>VLOOKUP($A72,'Institution Evaluation'!$A$56:$K$345,7,0)&amp;""</f>
        <v>Yes</v>
      </c>
      <c r="H72" s="4" t="str">
        <f>VLOOKUP($A72,'Institution Evaluation'!$A$56:$K$345,8,0)&amp;""</f>
        <v/>
      </c>
      <c r="I72" s="4" t="str">
        <f>VLOOKUP($A72,'Institution Evaluation'!$A$56:$K$345,9,0)&amp;""</f>
        <v>Standard Importance</v>
      </c>
      <c r="J72" s="4" t="str">
        <f>VLOOKUP($A72,'Institution Evaluation'!$A$56:$K$345,10,0)&amp;""</f>
        <v/>
      </c>
      <c r="K72" s="4">
        <f>IF($I72='Auto Responses'!$J$11,20,IF($I72='Auto Responses'!$J$13,5,10))</f>
        <v>10</v>
      </c>
      <c r="L72" s="105">
        <f>IF($E72='Auto Responses'!$L$13, 'Auto Responses'!$J$5,IF(AND($D72='Auto Responses'!$J$27,$H72=""),'Auto Responses'!$J$5,IF(AND($D72='Auto Responses'!$J$27,$H72='Auto Responses'!$J$7),1,IF(AND($D72='Auto Responses'!$J$27,$H72='Auto Responses'!$J$8),0,IF(OR(AND($F72=$G72,$H72=""),$H72='Auto Responses'!$J$7),1,0)))))</f>
        <v>1</v>
      </c>
      <c r="M72" s="4" t="str">
        <f>VLOOKUP($A72,'Institution Evaluation'!$A$56:$K$345,11,0)&amp;""</f>
        <v>FALSE</v>
      </c>
      <c r="N72" s="4">
        <f>IF($J72='Auto Responses'!$J$11,1,IF(AND($J72="",$I72='Auto Responses'!$J$11),1,0))</f>
        <v>0</v>
      </c>
      <c r="O72" s="105">
        <f>IF(OR($F$17='Auto Responses'!$J$4,$E72='Auto Responses'!$L$13,$F72='Auto Responses'!$J$5),'Auto Responses'!$J$5,IF($J72="",$K72,IF($J72='Auto Responses'!$J$13,5,IF($J72='Auto Responses'!$J$12,10,IF($J72='Auto Responses'!$J$11,20,0)))))</f>
        <v>10</v>
      </c>
      <c r="P72" s="105">
        <f>IF(OR($O72='Auto Responses'!$J$5,$L72='Auto Responses'!$J$5),'Auto Responses'!$J$5,$O72*$L72)</f>
        <v>10</v>
      </c>
      <c r="Q72" s="105">
        <f t="shared" si="7"/>
        <v>0</v>
      </c>
      <c r="R72" s="105">
        <f t="shared" si="12"/>
        <v>0</v>
      </c>
      <c r="S72" s="105">
        <f t="shared" si="8"/>
        <v>0</v>
      </c>
      <c r="T72" s="105">
        <f t="shared" si="9"/>
        <v>0</v>
      </c>
      <c r="U72" s="105">
        <f t="shared" si="13"/>
        <v>21</v>
      </c>
      <c r="V72" s="105">
        <f t="shared" si="10"/>
        <v>0</v>
      </c>
    </row>
    <row r="73" spans="1:22" ht="56" x14ac:dyDescent="0.3">
      <c r="A73" s="4" t="str">
        <f>Questions!$A73</f>
        <v>APPL-10</v>
      </c>
      <c r="B73" s="4" t="str">
        <f t="shared" si="11"/>
        <v>APPL</v>
      </c>
      <c r="C73" s="4" t="str">
        <f>VLOOKUP($A73,Questions!$A$3:$L$333,2,0)&amp;""</f>
        <v>Do you have a process and implemented procedures for managing your software supply chain (e.g., libraries, repositories, frameworks, etc.)?</v>
      </c>
      <c r="D73" s="4" t="str">
        <f>VLOOKUP($A73,Questions!$A$3:$L$333,11,0)&amp;""</f>
        <v/>
      </c>
      <c r="E73" s="4" t="str">
        <f>VLOOKUP($A73,Questions!$A$3:$L$333,12,0)&amp;""</f>
        <v>Infrastructure</v>
      </c>
      <c r="F73" s="4" t="str">
        <f>VLOOKUP($A73,'Institution Evaluation'!$A$56:$K$345,3,0)&amp;""</f>
        <v>Yes</v>
      </c>
      <c r="G73" s="4" t="str">
        <f>VLOOKUP($A73,'Institution Evaluation'!$A$56:$K$345,7,0)&amp;""</f>
        <v>Yes</v>
      </c>
      <c r="H73" s="4" t="str">
        <f>VLOOKUP($A73,'Institution Evaluation'!$A$56:$K$345,8,0)&amp;""</f>
        <v/>
      </c>
      <c r="I73" s="4" t="str">
        <f>VLOOKUP($A73,'Institution Evaluation'!$A$56:$K$345,9,0)&amp;""</f>
        <v>Standard Importance</v>
      </c>
      <c r="J73" s="4" t="str">
        <f>VLOOKUP($A73,'Institution Evaluation'!$A$56:$K$345,10,0)&amp;""</f>
        <v/>
      </c>
      <c r="K73" s="4">
        <f>IF($I73='Auto Responses'!$J$11,20,IF($I73='Auto Responses'!$J$13,5,10))</f>
        <v>10</v>
      </c>
      <c r="L73" s="105">
        <f>IF($E73='Auto Responses'!$L$13, 'Auto Responses'!$J$5,IF(AND($D73='Auto Responses'!$J$27,$H73=""),'Auto Responses'!$J$5,IF(AND($D73='Auto Responses'!$J$27,$H73='Auto Responses'!$J$7),1,IF(AND($D73='Auto Responses'!$J$27,$H73='Auto Responses'!$J$8),0,IF(OR(AND($F73=$G73,$H73=""),$H73='Auto Responses'!$J$7),1,0)))))</f>
        <v>1</v>
      </c>
      <c r="M73" s="4" t="str">
        <f>VLOOKUP($A73,'Institution Evaluation'!$A$56:$K$345,11,0)&amp;""</f>
        <v>FALSE</v>
      </c>
      <c r="N73" s="4">
        <f>IF($J73='Auto Responses'!$J$11,1,IF(AND($J73="",$I73='Auto Responses'!$J$11),1,0))</f>
        <v>0</v>
      </c>
      <c r="O73" s="105">
        <f>IF(OR($F$17='Auto Responses'!$J$4,$E73='Auto Responses'!$L$13,$F73='Auto Responses'!$J$5),'Auto Responses'!$J$5,IF($J73="",$K73,IF($J73='Auto Responses'!$J$13,5,IF($J73='Auto Responses'!$J$12,10,IF($J73='Auto Responses'!$J$11,20,0)))))</f>
        <v>10</v>
      </c>
      <c r="P73" s="105">
        <f>IF(OR($O73='Auto Responses'!$J$5,$L73='Auto Responses'!$J$5),'Auto Responses'!$J$5,$O73*$L73)</f>
        <v>10</v>
      </c>
      <c r="Q73" s="105">
        <f t="shared" si="7"/>
        <v>0</v>
      </c>
      <c r="R73" s="105">
        <f t="shared" si="12"/>
        <v>0</v>
      </c>
      <c r="S73" s="105">
        <f t="shared" si="8"/>
        <v>0</v>
      </c>
      <c r="T73" s="105">
        <f t="shared" si="9"/>
        <v>0</v>
      </c>
      <c r="U73" s="105">
        <f t="shared" si="13"/>
        <v>21</v>
      </c>
      <c r="V73" s="105">
        <f t="shared" si="10"/>
        <v>0</v>
      </c>
    </row>
    <row r="74" spans="1:22" ht="56" x14ac:dyDescent="0.3">
      <c r="A74" s="4" t="str">
        <f>Questions!$A74</f>
        <v>APPL-11</v>
      </c>
      <c r="B74" s="4" t="str">
        <f t="shared" si="11"/>
        <v>APPL</v>
      </c>
      <c r="C74" s="4" t="str">
        <f>VLOOKUP($A74,Questions!$A$3:$L$333,2,0)&amp;""</f>
        <v>Have your developers been trained in secure coding techniques?</v>
      </c>
      <c r="D74" s="4" t="str">
        <f>VLOOKUP($A74,Questions!$A$3:$L$333,11,0)&amp;""</f>
        <v/>
      </c>
      <c r="E74" s="4" t="str">
        <f>VLOOKUP($A74,Questions!$A$3:$L$333,12,0)&amp;""</f>
        <v>Infrastructure</v>
      </c>
      <c r="F74" s="4" t="str">
        <f>VLOOKUP($A74,'Institution Evaluation'!$A$56:$K$345,3,0)&amp;""</f>
        <v>Yes</v>
      </c>
      <c r="G74" s="4" t="str">
        <f>VLOOKUP($A74,'Institution Evaluation'!$A$56:$K$345,7,0)&amp;""</f>
        <v>Yes</v>
      </c>
      <c r="H74" s="4" t="str">
        <f>VLOOKUP($A74,'Institution Evaluation'!$A$56:$K$345,8,0)&amp;""</f>
        <v/>
      </c>
      <c r="I74" s="4" t="str">
        <f>VLOOKUP($A74,'Institution Evaluation'!$A$56:$K$345,9,0)&amp;""</f>
        <v>Standard Importance</v>
      </c>
      <c r="J74" s="4" t="str">
        <f>VLOOKUP($A74,'Institution Evaluation'!$A$56:$K$345,10,0)&amp;""</f>
        <v/>
      </c>
      <c r="K74" s="4">
        <f>IF($I74='Auto Responses'!$J$11,20,IF($I74='Auto Responses'!$J$13,5,10))</f>
        <v>10</v>
      </c>
      <c r="L74" s="105">
        <f>IF($E74='Auto Responses'!$L$13, 'Auto Responses'!$J$5,IF(AND($D74='Auto Responses'!$J$27,$H74=""),'Auto Responses'!$J$5,IF(AND($D74='Auto Responses'!$J$27,$H74='Auto Responses'!$J$7),1,IF(AND($D74='Auto Responses'!$J$27,$H74='Auto Responses'!$J$8),0,IF(OR(AND($F74=$G74,$H74=""),$H74='Auto Responses'!$J$7),1,0)))))</f>
        <v>1</v>
      </c>
      <c r="M74" s="4" t="str">
        <f>VLOOKUP($A74,'Institution Evaluation'!$A$56:$K$345,11,0)&amp;""</f>
        <v>FALSE</v>
      </c>
      <c r="N74" s="4">
        <f>IF($J74='Auto Responses'!$J$11,1,IF(AND($J74="",$I74='Auto Responses'!$J$11),1,0))</f>
        <v>0</v>
      </c>
      <c r="O74" s="105">
        <f>IF(OR($F$17='Auto Responses'!$J$4,$E74='Auto Responses'!$L$13,$F74='Auto Responses'!$J$5),'Auto Responses'!$J$5,IF($J74="",$K74,IF($J74='Auto Responses'!$J$13,5,IF($J74='Auto Responses'!$J$12,10,IF($J74='Auto Responses'!$J$11,20,0)))))</f>
        <v>10</v>
      </c>
      <c r="P74" s="105">
        <f>IF(OR($O74='Auto Responses'!$J$5,$L74='Auto Responses'!$J$5),'Auto Responses'!$J$5,$O74*$L74)</f>
        <v>10</v>
      </c>
      <c r="Q74" s="105">
        <f t="shared" si="7"/>
        <v>0</v>
      </c>
      <c r="R74" s="105">
        <f t="shared" si="12"/>
        <v>0</v>
      </c>
      <c r="S74" s="105">
        <f t="shared" si="8"/>
        <v>0</v>
      </c>
      <c r="T74" s="105">
        <f t="shared" si="9"/>
        <v>0</v>
      </c>
      <c r="U74" s="105">
        <f t="shared" si="13"/>
        <v>21</v>
      </c>
      <c r="V74" s="105">
        <f t="shared" si="10"/>
        <v>0</v>
      </c>
    </row>
    <row r="75" spans="1:22" ht="56" x14ac:dyDescent="0.3">
      <c r="A75" s="4" t="str">
        <f>Questions!$A75</f>
        <v>APPL-12</v>
      </c>
      <c r="B75" s="4" t="str">
        <f t="shared" si="11"/>
        <v>APPL</v>
      </c>
      <c r="C75" s="4" t="str">
        <f>VLOOKUP($A75,Questions!$A$3:$L$333,2,0)&amp;""</f>
        <v>Was your application developed using secure coding techniques?</v>
      </c>
      <c r="D75" s="4" t="str">
        <f>VLOOKUP($A75,Questions!$A$3:$L$333,11,0)&amp;""</f>
        <v/>
      </c>
      <c r="E75" s="4" t="str">
        <f>VLOOKUP($A75,Questions!$A$3:$L$333,12,0)&amp;""</f>
        <v>Infrastructure</v>
      </c>
      <c r="F75" s="4" t="str">
        <f>VLOOKUP($A75,'Institution Evaluation'!$A$56:$K$345,3,0)&amp;""</f>
        <v>Yes</v>
      </c>
      <c r="G75" s="4" t="str">
        <f>VLOOKUP($A75,'Institution Evaluation'!$A$56:$K$345,7,0)&amp;""</f>
        <v>Yes</v>
      </c>
      <c r="H75" s="4" t="str">
        <f>VLOOKUP($A75,'Institution Evaluation'!$A$56:$K$345,8,0)&amp;""</f>
        <v/>
      </c>
      <c r="I75" s="4" t="str">
        <f>VLOOKUP($A75,'Institution Evaluation'!$A$56:$K$345,9,0)&amp;""</f>
        <v>Standard Importance</v>
      </c>
      <c r="J75" s="4" t="str">
        <f>VLOOKUP($A75,'Institution Evaluation'!$A$56:$K$345,10,0)&amp;""</f>
        <v/>
      </c>
      <c r="K75" s="4">
        <f>IF($I75='Auto Responses'!$J$11,20,IF($I75='Auto Responses'!$J$13,5,10))</f>
        <v>10</v>
      </c>
      <c r="L75" s="105">
        <f>IF($E75='Auto Responses'!$L$13, 'Auto Responses'!$J$5,IF(AND($D75='Auto Responses'!$J$27,$H75=""),'Auto Responses'!$J$5,IF(AND($D75='Auto Responses'!$J$27,$H75='Auto Responses'!$J$7),1,IF(AND($D75='Auto Responses'!$J$27,$H75='Auto Responses'!$J$8),0,IF(OR(AND($F75=$G75,$H75=""),$H75='Auto Responses'!$J$7),1,0)))))</f>
        <v>1</v>
      </c>
      <c r="M75" s="4" t="str">
        <f>VLOOKUP($A75,'Institution Evaluation'!$A$56:$K$345,11,0)&amp;""</f>
        <v>FALSE</v>
      </c>
      <c r="N75" s="4">
        <f>IF($J75='Auto Responses'!$J$11,1,IF(AND($J75="",$I75='Auto Responses'!$J$11),1,0))</f>
        <v>0</v>
      </c>
      <c r="O75" s="105">
        <f>IF(OR($F$17='Auto Responses'!$J$4,$E75='Auto Responses'!$L$13,$F75='Auto Responses'!$J$5),'Auto Responses'!$J$5,IF($J75="",$K75,IF($J75='Auto Responses'!$J$13,5,IF($J75='Auto Responses'!$J$12,10,IF($J75='Auto Responses'!$J$11,20,0)))))</f>
        <v>10</v>
      </c>
      <c r="P75" s="105">
        <f>IF(OR($O75='Auto Responses'!$J$5,$L75='Auto Responses'!$J$5),'Auto Responses'!$J$5,$O75*$L75)</f>
        <v>10</v>
      </c>
      <c r="Q75" s="105">
        <f t="shared" si="7"/>
        <v>0</v>
      </c>
      <c r="R75" s="105">
        <f t="shared" si="12"/>
        <v>0</v>
      </c>
      <c r="S75" s="105">
        <f t="shared" si="8"/>
        <v>0</v>
      </c>
      <c r="T75" s="105">
        <f t="shared" si="9"/>
        <v>0</v>
      </c>
      <c r="U75" s="105">
        <f t="shared" si="13"/>
        <v>21</v>
      </c>
      <c r="V75" s="105">
        <f t="shared" si="10"/>
        <v>0</v>
      </c>
    </row>
    <row r="76" spans="1:22" ht="56" x14ac:dyDescent="0.3">
      <c r="A76" s="4" t="str">
        <f>Questions!$A76</f>
        <v>APPL-13</v>
      </c>
      <c r="B76" s="4" t="str">
        <f t="shared" si="11"/>
        <v>APPL</v>
      </c>
      <c r="C76" s="4" t="str">
        <f>VLOOKUP($A76,Questions!$A$3:$L$333,2,0)&amp;""</f>
        <v>If mobile, is the application available from a trusted source (e.g., App Store, Google Play Store)?</v>
      </c>
      <c r="D76" s="4" t="str">
        <f>VLOOKUP($A76,Questions!$A$3:$L$333,11,0)&amp;""</f>
        <v/>
      </c>
      <c r="E76" s="4" t="str">
        <f>VLOOKUP($A76,Questions!$A$3:$L$333,12,0)&amp;""</f>
        <v>Infrastructure</v>
      </c>
      <c r="F76" s="4" t="str">
        <f>VLOOKUP($A76,'Institution Evaluation'!$A$56:$K$345,3,0)&amp;""</f>
        <v>N/A</v>
      </c>
      <c r="G76" s="4" t="str">
        <f>VLOOKUP($A76,'Institution Evaluation'!$A$56:$K$345,7,0)&amp;""</f>
        <v>Yes</v>
      </c>
      <c r="H76" s="4" t="str">
        <f>VLOOKUP($A76,'Institution Evaluation'!$A$56:$K$345,8,0)&amp;""</f>
        <v/>
      </c>
      <c r="I76" s="4" t="str">
        <f>VLOOKUP($A76,'Institution Evaluation'!$A$56:$K$345,9,0)&amp;""</f>
        <v>Minor Importance</v>
      </c>
      <c r="J76" s="4" t="str">
        <f>VLOOKUP($A76,'Institution Evaluation'!$A$56:$K$345,10,0)&amp;""</f>
        <v/>
      </c>
      <c r="K76" s="4">
        <f>IF($I76='Auto Responses'!$J$11,20,IF($I76='Auto Responses'!$J$13,5,10))</f>
        <v>5</v>
      </c>
      <c r="L76" s="105">
        <f>IF($E76='Auto Responses'!$L$13, 'Auto Responses'!$J$5,IF(AND($D76='Auto Responses'!$J$27,$H76=""),'Auto Responses'!$J$5,IF(AND($D76='Auto Responses'!$J$27,$H76='Auto Responses'!$J$7),1,IF(AND($D76='Auto Responses'!$J$27,$H76='Auto Responses'!$J$8),0,IF(OR(AND($F76=$G76,$H76=""),$H76='Auto Responses'!$J$7),1,0)))))</f>
        <v>0</v>
      </c>
      <c r="M76" s="4" t="str">
        <f>VLOOKUP($A76,'Institution Evaluation'!$A$56:$K$345,11,0)&amp;""</f>
        <v>FALSE</v>
      </c>
      <c r="N76" s="4">
        <f>IF($J76='Auto Responses'!$J$11,1,IF(AND($J76="",$I76='Auto Responses'!$J$11),1,0))</f>
        <v>0</v>
      </c>
      <c r="O76" s="105" t="str">
        <f>IF(OR($F$17='Auto Responses'!$J$4,$E76='Auto Responses'!$L$13,$F76='Auto Responses'!$J$5),'Auto Responses'!$J$5,IF($J76="",$K76,IF($J76='Auto Responses'!$J$13,5,IF($J76='Auto Responses'!$J$12,10,IF($J76='Auto Responses'!$J$11,20,0)))))</f>
        <v>N/A</v>
      </c>
      <c r="P76" s="105" t="str">
        <f>IF(OR($O76='Auto Responses'!$J$5,$L76='Auto Responses'!$J$5),'Auto Responses'!$J$5,$O76*$L76)</f>
        <v>N/A</v>
      </c>
      <c r="Q76" s="105">
        <f t="shared" si="7"/>
        <v>0</v>
      </c>
      <c r="R76" s="105">
        <f t="shared" si="12"/>
        <v>0</v>
      </c>
      <c r="S76" s="105">
        <f t="shared" si="8"/>
        <v>0</v>
      </c>
      <c r="T76" s="105">
        <f t="shared" si="9"/>
        <v>0</v>
      </c>
      <c r="U76" s="105">
        <f t="shared" si="13"/>
        <v>21</v>
      </c>
      <c r="V76" s="105">
        <f t="shared" si="10"/>
        <v>0</v>
      </c>
    </row>
    <row r="77" spans="1:22" ht="56" x14ac:dyDescent="0.3">
      <c r="A77" s="4" t="str">
        <f>Questions!$A77</f>
        <v>APPL-14</v>
      </c>
      <c r="B77" s="4" t="str">
        <f t="shared" si="11"/>
        <v>APPL</v>
      </c>
      <c r="C77" s="4" t="str">
        <f>VLOOKUP($A77,Questions!$A$3:$L$333,2,0)&amp;""</f>
        <v>Do you have a fully implemented policy or procedure that details how your employees obtain administrator access to institutional instance of the application?</v>
      </c>
      <c r="D77" s="4" t="str">
        <f>VLOOKUP($A77,Questions!$A$3:$L$333,11,0)&amp;""</f>
        <v/>
      </c>
      <c r="E77" s="4" t="str">
        <f>VLOOKUP($A77,Questions!$A$3:$L$333,12,0)&amp;""</f>
        <v>Infrastructure</v>
      </c>
      <c r="F77" s="4" t="str">
        <f>VLOOKUP($A77,'Institution Evaluation'!$A$56:$K$345,3,0)&amp;""</f>
        <v>Yes</v>
      </c>
      <c r="G77" s="4" t="str">
        <f>VLOOKUP($A77,'Institution Evaluation'!$A$56:$K$345,7,0)&amp;""</f>
        <v>Yes</v>
      </c>
      <c r="H77" s="4" t="str">
        <f>VLOOKUP($A77,'Institution Evaluation'!$A$56:$K$345,8,0)&amp;""</f>
        <v/>
      </c>
      <c r="I77" s="4" t="str">
        <f>VLOOKUP($A77,'Institution Evaluation'!$A$56:$K$345,9,0)&amp;""</f>
        <v>Minor Importance</v>
      </c>
      <c r="J77" s="4" t="str">
        <f>VLOOKUP($A77,'Institution Evaluation'!$A$56:$K$345,10,0)&amp;""</f>
        <v/>
      </c>
      <c r="K77" s="4">
        <f>IF($I77='Auto Responses'!$J$11,20,IF($I77='Auto Responses'!$J$13,5,10))</f>
        <v>5</v>
      </c>
      <c r="L77" s="105">
        <f>IF($E77='Auto Responses'!$L$13, 'Auto Responses'!$J$5,IF(AND($D77='Auto Responses'!$J$27,$H77=""),'Auto Responses'!$J$5,IF(AND($D77='Auto Responses'!$J$27,$H77='Auto Responses'!$J$7),1,IF(AND($D77='Auto Responses'!$J$27,$H77='Auto Responses'!$J$8),0,IF(OR(AND($F77=$G77,$H77=""),$H77='Auto Responses'!$J$7),1,0)))))</f>
        <v>1</v>
      </c>
      <c r="M77" s="4" t="str">
        <f>VLOOKUP($A77,'Institution Evaluation'!$A$56:$K$345,11,0)&amp;""</f>
        <v>FALSE</v>
      </c>
      <c r="N77" s="4">
        <f>IF($J77='Auto Responses'!$J$11,1,IF(AND($J77="",$I77='Auto Responses'!$J$11),1,0))</f>
        <v>0</v>
      </c>
      <c r="O77" s="105">
        <f>IF(OR($F$17='Auto Responses'!$J$4,$E77='Auto Responses'!$L$13,$F77='Auto Responses'!$J$5),'Auto Responses'!$J$5,IF($J77="",$K77,IF($J77='Auto Responses'!$J$13,5,IF($J77='Auto Responses'!$J$12,10,IF($J77='Auto Responses'!$J$11,20,0)))))</f>
        <v>5</v>
      </c>
      <c r="P77" s="105">
        <f>IF(OR($O77='Auto Responses'!$J$5,$L77='Auto Responses'!$J$5),'Auto Responses'!$J$5,$O77*$L77)</f>
        <v>5</v>
      </c>
      <c r="Q77" s="105">
        <f t="shared" si="7"/>
        <v>0</v>
      </c>
      <c r="R77" s="105">
        <f t="shared" si="12"/>
        <v>0</v>
      </c>
      <c r="S77" s="105">
        <f t="shared" si="8"/>
        <v>0</v>
      </c>
      <c r="T77" s="105">
        <f t="shared" si="9"/>
        <v>0</v>
      </c>
      <c r="U77" s="105">
        <f t="shared" si="13"/>
        <v>21</v>
      </c>
      <c r="V77" s="105">
        <f t="shared" si="10"/>
        <v>0</v>
      </c>
    </row>
    <row r="78" spans="1:22" ht="56" x14ac:dyDescent="0.3">
      <c r="A78" s="4" t="str">
        <f>Questions!$A78</f>
        <v>AAAI-01</v>
      </c>
      <c r="B78" s="4" t="str">
        <f t="shared" si="11"/>
        <v>AAAI</v>
      </c>
      <c r="C78" s="4" t="str">
        <f>VLOOKUP($A78,Questions!$A$3:$L$333,2,0)&amp;""</f>
        <v>Does your solution support single sign-on (SSO) protocols for user and administrator authentication?*</v>
      </c>
      <c r="D78" s="4" t="str">
        <f>VLOOKUP($A78,Questions!$A$3:$L$333,11,0)&amp;""</f>
        <v/>
      </c>
      <c r="E78" s="4" t="str">
        <f>VLOOKUP($A78,Questions!$A$3:$L$333,12,0)&amp;""</f>
        <v>Product</v>
      </c>
      <c r="F78" s="4" t="str">
        <f>VLOOKUP($A78,'Institution Evaluation'!$A$56:$K$345,3,0)&amp;""</f>
        <v>Yes</v>
      </c>
      <c r="G78" s="4" t="str">
        <f>VLOOKUP($A78,'Institution Evaluation'!$A$56:$K$345,7,0)&amp;""</f>
        <v>Yes</v>
      </c>
      <c r="H78" s="4" t="str">
        <f>VLOOKUP($A78,'Institution Evaluation'!$A$56:$K$345,8,0)&amp;""</f>
        <v/>
      </c>
      <c r="I78" s="4" t="str">
        <f>VLOOKUP($A78,'Institution Evaluation'!$A$56:$K$345,9,0)&amp;""</f>
        <v>Critical Importance</v>
      </c>
      <c r="J78" s="4" t="str">
        <f>VLOOKUP($A78,'Institution Evaluation'!$A$56:$K$345,10,0)&amp;""</f>
        <v/>
      </c>
      <c r="K78" s="4">
        <f>IF($I78='Auto Responses'!$J$11,20,IF($I78='Auto Responses'!$J$13,5,10))</f>
        <v>20</v>
      </c>
      <c r="L78" s="105">
        <f>IF($E78='Auto Responses'!$L$13, 'Auto Responses'!$J$5,IF(AND($D78='Auto Responses'!$J$27,$H78=""),'Auto Responses'!$J$5,IF(AND($D78='Auto Responses'!$J$27,$H78='Auto Responses'!$J$7),1,IF(AND($D78='Auto Responses'!$J$27,$H78='Auto Responses'!$J$8),0,IF(OR(AND($F78=$G78,$H78=""),$H78='Auto Responses'!$J$7),1,0)))))</f>
        <v>1</v>
      </c>
      <c r="M78" s="4" t="str">
        <f>VLOOKUP($A78,'Institution Evaluation'!$A$56:$K$345,11,0)&amp;""</f>
        <v>FALSE</v>
      </c>
      <c r="N78" s="4">
        <f>IF($J78='Auto Responses'!$J$11,1,IF(AND($J78="",$I78='Auto Responses'!$J$11),1,0))</f>
        <v>1</v>
      </c>
      <c r="O78" s="105">
        <f>IF(OR($F$17='Auto Responses'!$J$4,$E78='Auto Responses'!$L$13,$F78='Auto Responses'!$J$5),'Auto Responses'!$J$5,IF($J78="",$K78,IF($J78='Auto Responses'!$J$13,5,IF($J78='Auto Responses'!$J$12,10,IF($J78='Auto Responses'!$J$11,20,0)))))</f>
        <v>20</v>
      </c>
      <c r="P78" s="105">
        <f>IF(OR($O78='Auto Responses'!$J$5,$L78='Auto Responses'!$J$5),'Auto Responses'!$J$5,$O78*$L78)</f>
        <v>20</v>
      </c>
      <c r="Q78" s="105">
        <f t="shared" si="7"/>
        <v>0</v>
      </c>
      <c r="R78" s="105">
        <f t="shared" si="12"/>
        <v>0</v>
      </c>
      <c r="S78" s="105">
        <f t="shared" si="8"/>
        <v>0</v>
      </c>
      <c r="T78" s="105">
        <f t="shared" si="9"/>
        <v>1</v>
      </c>
      <c r="U78" s="105">
        <f t="shared" si="13"/>
        <v>22</v>
      </c>
      <c r="V78" s="105">
        <f t="shared" si="10"/>
        <v>22</v>
      </c>
    </row>
    <row r="79" spans="1:22" ht="56" x14ac:dyDescent="0.3">
      <c r="A79" s="4" t="str">
        <f>Questions!$A79</f>
        <v>AAAI-02</v>
      </c>
      <c r="B79" s="4" t="str">
        <f t="shared" si="11"/>
        <v>AAAI</v>
      </c>
      <c r="C79" s="4" t="str">
        <f>VLOOKUP($A79,Questions!$A$3:$L$333,2,0)&amp;""</f>
        <v>For customers not using SSO, does your solution support local authentication protocols for user and administrator authentication?*</v>
      </c>
      <c r="D79" s="4" t="str">
        <f>VLOOKUP($A79,Questions!$A$3:$L$333,11,0)&amp;""</f>
        <v/>
      </c>
      <c r="E79" s="4" t="str">
        <f>VLOOKUP($A79,Questions!$A$3:$L$333,12,0)&amp;""</f>
        <v>Product</v>
      </c>
      <c r="F79" s="4" t="str">
        <f>VLOOKUP($A79,'Institution Evaluation'!$A$56:$K$345,3,0)&amp;""</f>
        <v>Yes</v>
      </c>
      <c r="G79" s="4" t="str">
        <f>VLOOKUP($A79,'Institution Evaluation'!$A$56:$K$345,7,0)&amp;""</f>
        <v>Yes</v>
      </c>
      <c r="H79" s="4" t="str">
        <f>VLOOKUP($A79,'Institution Evaluation'!$A$56:$K$345,8,0)&amp;""</f>
        <v/>
      </c>
      <c r="I79" s="4" t="str">
        <f>VLOOKUP($A79,'Institution Evaluation'!$A$56:$K$345,9,0)&amp;""</f>
        <v>Critical Importance</v>
      </c>
      <c r="J79" s="4" t="str">
        <f>VLOOKUP($A79,'Institution Evaluation'!$A$56:$K$345,10,0)&amp;""</f>
        <v/>
      </c>
      <c r="K79" s="4">
        <f>IF($I79='Auto Responses'!$J$11,20,IF($I79='Auto Responses'!$J$13,5,10))</f>
        <v>20</v>
      </c>
      <c r="L79" s="105">
        <f>IF($E79='Auto Responses'!$L$13, 'Auto Responses'!$J$5,IF(AND($D79='Auto Responses'!$J$27,$H79=""),'Auto Responses'!$J$5,IF(AND($D79='Auto Responses'!$J$27,$H79='Auto Responses'!$J$7),1,IF(AND($D79='Auto Responses'!$J$27,$H79='Auto Responses'!$J$8),0,IF(OR(AND($F79=$G79,$H79=""),$H79='Auto Responses'!$J$7),1,0)))))</f>
        <v>1</v>
      </c>
      <c r="M79" s="4" t="str">
        <f>VLOOKUP($A79,'Institution Evaluation'!$A$56:$K$345,11,0)&amp;""</f>
        <v>FALSE</v>
      </c>
      <c r="N79" s="4">
        <f>IF($J79='Auto Responses'!$J$11,1,IF(AND($J79="",$I79='Auto Responses'!$J$11),1,0))</f>
        <v>1</v>
      </c>
      <c r="O79" s="105">
        <f>IF(OR($F$17='Auto Responses'!$J$4,$E79='Auto Responses'!$L$13,$F79='Auto Responses'!$J$5),'Auto Responses'!$J$5,IF($J79="",$K79,IF($J79='Auto Responses'!$J$13,5,IF($J79='Auto Responses'!$J$12,10,IF($J79='Auto Responses'!$J$11,20,0)))))</f>
        <v>20</v>
      </c>
      <c r="P79" s="105">
        <f>IF(OR($O79='Auto Responses'!$J$5,$L79='Auto Responses'!$J$5),'Auto Responses'!$J$5,$O79*$L79)</f>
        <v>20</v>
      </c>
      <c r="Q79" s="105">
        <f t="shared" si="7"/>
        <v>0</v>
      </c>
      <c r="R79" s="105">
        <f t="shared" si="12"/>
        <v>0</v>
      </c>
      <c r="S79" s="105">
        <f t="shared" si="8"/>
        <v>0</v>
      </c>
      <c r="T79" s="105">
        <f t="shared" si="9"/>
        <v>1</v>
      </c>
      <c r="U79" s="105">
        <f t="shared" si="13"/>
        <v>23</v>
      </c>
      <c r="V79" s="105">
        <f t="shared" si="10"/>
        <v>23</v>
      </c>
    </row>
    <row r="80" spans="1:22" ht="56" x14ac:dyDescent="0.3">
      <c r="A80" s="4" t="str">
        <f>Questions!$A80</f>
        <v>AAAI-03</v>
      </c>
      <c r="B80" s="4" t="str">
        <f t="shared" si="11"/>
        <v>AAAI</v>
      </c>
      <c r="C80" s="4" t="str">
        <f>VLOOKUP($A80,Questions!$A$3:$L$333,2,0)&amp;""</f>
        <v>For customers not using SSO, can you enforce password/passphrase complexity requirements (provided by the institution)?*</v>
      </c>
      <c r="D80" s="4" t="str">
        <f>VLOOKUP($A80,Questions!$A$3:$L$333,11,0)&amp;""</f>
        <v/>
      </c>
      <c r="E80" s="4" t="str">
        <f>VLOOKUP($A80,Questions!$A$3:$L$333,12,0)&amp;""</f>
        <v>Product</v>
      </c>
      <c r="F80" s="4" t="str">
        <f>VLOOKUP($A80,'Institution Evaluation'!$A$56:$K$345,3,0)&amp;""</f>
        <v>No</v>
      </c>
      <c r="G80" s="4" t="str">
        <f>VLOOKUP($A80,'Institution Evaluation'!$A$56:$K$345,7,0)&amp;""</f>
        <v>Yes</v>
      </c>
      <c r="H80" s="4" t="str">
        <f>VLOOKUP($A80,'Institution Evaluation'!$A$56:$K$345,8,0)&amp;""</f>
        <v/>
      </c>
      <c r="I80" s="4" t="str">
        <f>VLOOKUP($A80,'Institution Evaluation'!$A$56:$K$345,9,0)&amp;""</f>
        <v>Critical Importance</v>
      </c>
      <c r="J80" s="4" t="str">
        <f>VLOOKUP($A80,'Institution Evaluation'!$A$56:$K$345,10,0)&amp;""</f>
        <v/>
      </c>
      <c r="K80" s="4">
        <f>IF($I80='Auto Responses'!$J$11,20,IF($I80='Auto Responses'!$J$13,5,10))</f>
        <v>20</v>
      </c>
      <c r="L80" s="105">
        <f>IF($E80='Auto Responses'!$L$13, 'Auto Responses'!$J$5,IF(AND($D80='Auto Responses'!$J$27,$H80=""),'Auto Responses'!$J$5,IF(AND($D80='Auto Responses'!$J$27,$H80='Auto Responses'!$J$7),1,IF(AND($D80='Auto Responses'!$J$27,$H80='Auto Responses'!$J$8),0,IF(OR(AND($F80=$G80,$H80=""),$H80='Auto Responses'!$J$7),1,0)))))</f>
        <v>0</v>
      </c>
      <c r="M80" s="4" t="str">
        <f>VLOOKUP($A80,'Institution Evaluation'!$A$56:$K$345,11,0)&amp;""</f>
        <v>FALSE</v>
      </c>
      <c r="N80" s="4">
        <f>IF($J80='Auto Responses'!$J$11,1,IF(AND($J80="",$I80='Auto Responses'!$J$11),1,0))</f>
        <v>1</v>
      </c>
      <c r="O80" s="105">
        <f>IF(OR($F$17='Auto Responses'!$J$4,$E80='Auto Responses'!$L$13,$F80='Auto Responses'!$J$5),'Auto Responses'!$J$5,IF($J80="",$K80,IF($J80='Auto Responses'!$J$13,5,IF($J80='Auto Responses'!$J$12,10,IF($J80='Auto Responses'!$J$11,20,0)))))</f>
        <v>20</v>
      </c>
      <c r="P80" s="105">
        <f>IF(OR($O80='Auto Responses'!$J$5,$L80='Auto Responses'!$J$5),'Auto Responses'!$J$5,$O80*$L80)</f>
        <v>0</v>
      </c>
      <c r="Q80" s="105">
        <f t="shared" si="7"/>
        <v>0</v>
      </c>
      <c r="R80" s="105">
        <f t="shared" si="12"/>
        <v>0</v>
      </c>
      <c r="S80" s="105">
        <f t="shared" si="8"/>
        <v>0</v>
      </c>
      <c r="T80" s="105">
        <f t="shared" si="9"/>
        <v>1</v>
      </c>
      <c r="U80" s="105">
        <f t="shared" si="13"/>
        <v>24</v>
      </c>
      <c r="V80" s="105">
        <f t="shared" si="10"/>
        <v>24</v>
      </c>
    </row>
    <row r="81" spans="1:22" ht="56" x14ac:dyDescent="0.3">
      <c r="A81" s="4" t="str">
        <f>Questions!$A81</f>
        <v>AAAI-04</v>
      </c>
      <c r="B81" s="4" t="str">
        <f t="shared" si="11"/>
        <v>AAAI</v>
      </c>
      <c r="C81" s="4" t="str">
        <f>VLOOKUP($A81,Questions!$A$3:$L$333,2,0)&amp;""</f>
        <v>For customers not using SSO, does the system have password complexity or length limitations and/or restrictions?*</v>
      </c>
      <c r="D81" s="4" t="str">
        <f>VLOOKUP($A81,Questions!$A$3:$L$333,11,0)&amp;""</f>
        <v/>
      </c>
      <c r="E81" s="4" t="str">
        <f>VLOOKUP($A81,Questions!$A$3:$L$333,12,0)&amp;""</f>
        <v>Product</v>
      </c>
      <c r="F81" s="4" t="str">
        <f>VLOOKUP($A81,'Institution Evaluation'!$A$56:$K$345,3,0)&amp;""</f>
        <v>Yes</v>
      </c>
      <c r="G81" s="4" t="str">
        <f>VLOOKUP($A81,'Institution Evaluation'!$A$56:$K$345,7,0)&amp;""</f>
        <v>No</v>
      </c>
      <c r="H81" s="4" t="str">
        <f>VLOOKUP($A81,'Institution Evaluation'!$A$56:$K$345,8,0)&amp;""</f>
        <v/>
      </c>
      <c r="I81" s="4" t="str">
        <f>VLOOKUP($A81,'Institution Evaluation'!$A$56:$K$345,9,0)&amp;""</f>
        <v>Critical Importance</v>
      </c>
      <c r="J81" s="4" t="str">
        <f>VLOOKUP($A81,'Institution Evaluation'!$A$56:$K$345,10,0)&amp;""</f>
        <v/>
      </c>
      <c r="K81" s="4">
        <f>IF($I81='Auto Responses'!$J$11,20,IF($I81='Auto Responses'!$J$13,5,10))</f>
        <v>20</v>
      </c>
      <c r="L81" s="105">
        <f>IF($E81='Auto Responses'!$L$13, 'Auto Responses'!$J$5,IF(AND($D81='Auto Responses'!$J$27,$H81=""),'Auto Responses'!$J$5,IF(AND($D81='Auto Responses'!$J$27,$H81='Auto Responses'!$J$7),1,IF(AND($D81='Auto Responses'!$J$27,$H81='Auto Responses'!$J$8),0,IF(OR(AND($F81=$G81,$H81=""),$H81='Auto Responses'!$J$7),1,0)))))</f>
        <v>0</v>
      </c>
      <c r="M81" s="4" t="str">
        <f>VLOOKUP($A81,'Institution Evaluation'!$A$56:$K$345,11,0)&amp;""</f>
        <v>FALSE</v>
      </c>
      <c r="N81" s="4">
        <f>IF($J81='Auto Responses'!$J$11,1,IF(AND($J81="",$I81='Auto Responses'!$J$11),1,0))</f>
        <v>1</v>
      </c>
      <c r="O81" s="105">
        <f>IF(OR($F$17='Auto Responses'!$J$4,$E81='Auto Responses'!$L$13,$F81='Auto Responses'!$J$5),'Auto Responses'!$J$5,IF($J81="",$K81,IF($J81='Auto Responses'!$J$13,5,IF($J81='Auto Responses'!$J$12,10,IF($J81='Auto Responses'!$J$11,20,0)))))</f>
        <v>20</v>
      </c>
      <c r="P81" s="105">
        <f>IF(OR($O81='Auto Responses'!$J$5,$L81='Auto Responses'!$J$5),'Auto Responses'!$J$5,$O81*$L81)</f>
        <v>0</v>
      </c>
      <c r="Q81" s="105">
        <f t="shared" si="7"/>
        <v>0</v>
      </c>
      <c r="R81" s="105">
        <f t="shared" si="12"/>
        <v>0</v>
      </c>
      <c r="S81" s="105">
        <f t="shared" si="8"/>
        <v>0</v>
      </c>
      <c r="T81" s="105">
        <f t="shared" si="9"/>
        <v>1</v>
      </c>
      <c r="U81" s="105">
        <f t="shared" si="13"/>
        <v>25</v>
      </c>
      <c r="V81" s="105">
        <f t="shared" si="10"/>
        <v>25</v>
      </c>
    </row>
    <row r="82" spans="1:22" ht="56" x14ac:dyDescent="0.3">
      <c r="A82" s="4" t="str">
        <f>Questions!$A82</f>
        <v>AAAI-05</v>
      </c>
      <c r="B82" s="4" t="str">
        <f t="shared" si="11"/>
        <v>AAAI</v>
      </c>
      <c r="C82" s="4" t="str">
        <f>VLOOKUP($A82,Questions!$A$3:$L$333,2,0)&amp;""</f>
        <v>For customers not using SSO, do you have documented password/passphrase reset procedures that are currently implemented in the system and/or customer support?*</v>
      </c>
      <c r="D82" s="4" t="str">
        <f>VLOOKUP($A82,Questions!$A$3:$L$333,11,0)&amp;""</f>
        <v/>
      </c>
      <c r="E82" s="4" t="str">
        <f>VLOOKUP($A82,Questions!$A$3:$L$333,12,0)&amp;""</f>
        <v>Product</v>
      </c>
      <c r="F82" s="4" t="str">
        <f>VLOOKUP($A82,'Institution Evaluation'!$A$56:$K$345,3,0)&amp;""</f>
        <v>Yes</v>
      </c>
      <c r="G82" s="4" t="str">
        <f>VLOOKUP($A82,'Institution Evaluation'!$A$56:$K$345,7,0)&amp;""</f>
        <v>Yes</v>
      </c>
      <c r="H82" s="4" t="str">
        <f>VLOOKUP($A82,'Institution Evaluation'!$A$56:$K$345,8,0)&amp;""</f>
        <v/>
      </c>
      <c r="I82" s="4" t="str">
        <f>VLOOKUP($A82,'Institution Evaluation'!$A$56:$K$345,9,0)&amp;""</f>
        <v>Critical Importance</v>
      </c>
      <c r="J82" s="4" t="str">
        <f>VLOOKUP($A82,'Institution Evaluation'!$A$56:$K$345,10,0)&amp;""</f>
        <v/>
      </c>
      <c r="K82" s="4">
        <f>IF($I82='Auto Responses'!$J$11,20,IF($I82='Auto Responses'!$J$13,5,10))</f>
        <v>20</v>
      </c>
      <c r="L82" s="105">
        <f>IF($E82='Auto Responses'!$L$13, 'Auto Responses'!$J$5,IF(AND($D82='Auto Responses'!$J$27,$H82=""),'Auto Responses'!$J$5,IF(AND($D82='Auto Responses'!$J$27,$H82='Auto Responses'!$J$7),1,IF(AND($D82='Auto Responses'!$J$27,$H82='Auto Responses'!$J$8),0,IF(OR(AND($F82=$G82,$H82=""),$H82='Auto Responses'!$J$7),1,0)))))</f>
        <v>1</v>
      </c>
      <c r="M82" s="4" t="str">
        <f>VLOOKUP($A82,'Institution Evaluation'!$A$56:$K$345,11,0)&amp;""</f>
        <v>FALSE</v>
      </c>
      <c r="N82" s="4">
        <f>IF($J82='Auto Responses'!$J$11,1,IF(AND($J82="",$I82='Auto Responses'!$J$11),1,0))</f>
        <v>1</v>
      </c>
      <c r="O82" s="105">
        <f>IF(OR($F$17='Auto Responses'!$J$4,$E82='Auto Responses'!$L$13,$F82='Auto Responses'!$J$5),'Auto Responses'!$J$5,IF($J82="",$K82,IF($J82='Auto Responses'!$J$13,5,IF($J82='Auto Responses'!$J$12,10,IF($J82='Auto Responses'!$J$11,20,0)))))</f>
        <v>20</v>
      </c>
      <c r="P82" s="105">
        <f>IF(OR($O82='Auto Responses'!$J$5,$L82='Auto Responses'!$J$5),'Auto Responses'!$J$5,$O82*$L82)</f>
        <v>20</v>
      </c>
      <c r="Q82" s="105">
        <f t="shared" si="7"/>
        <v>0</v>
      </c>
      <c r="R82" s="105">
        <f t="shared" si="12"/>
        <v>0</v>
      </c>
      <c r="S82" s="105">
        <f t="shared" si="8"/>
        <v>0</v>
      </c>
      <c r="T82" s="105">
        <f t="shared" si="9"/>
        <v>1</v>
      </c>
      <c r="U82" s="105">
        <f t="shared" si="13"/>
        <v>26</v>
      </c>
      <c r="V82" s="105">
        <f t="shared" si="10"/>
        <v>26</v>
      </c>
    </row>
    <row r="83" spans="1:22" ht="56" x14ac:dyDescent="0.3">
      <c r="A83" s="4" t="str">
        <f>Questions!$A83</f>
        <v>AAAI-06</v>
      </c>
      <c r="B83" s="4" t="str">
        <f t="shared" si="11"/>
        <v>AAAI</v>
      </c>
      <c r="C83" s="4" t="str">
        <f>VLOOKUP($A83,Questions!$A$3:$L$333,2,0)&amp;""</f>
        <v>Does your organization participate in InCommon or another eduGAIN-affiliated trust federation?*</v>
      </c>
      <c r="D83" s="4" t="str">
        <f>VLOOKUP($A83,Questions!$A$3:$L$333,11,0)&amp;""</f>
        <v/>
      </c>
      <c r="E83" s="4" t="str">
        <f>VLOOKUP($A83,Questions!$A$3:$L$333,12,0)&amp;""</f>
        <v>Product</v>
      </c>
      <c r="F83" s="4" t="str">
        <f>VLOOKUP($A83,'Institution Evaluation'!$A$56:$K$345,3,0)&amp;""</f>
        <v>No</v>
      </c>
      <c r="G83" s="4" t="str">
        <f>VLOOKUP($A83,'Institution Evaluation'!$A$56:$K$345,7,0)&amp;""</f>
        <v>Yes</v>
      </c>
      <c r="H83" s="4" t="str">
        <f>VLOOKUP($A83,'Institution Evaluation'!$A$56:$K$345,8,0)&amp;""</f>
        <v/>
      </c>
      <c r="I83" s="4" t="str">
        <f>VLOOKUP($A83,'Institution Evaluation'!$A$56:$K$345,9,0)&amp;""</f>
        <v>Critical Importance</v>
      </c>
      <c r="J83" s="4" t="str">
        <f>VLOOKUP($A83,'Institution Evaluation'!$A$56:$K$345,10,0)&amp;""</f>
        <v/>
      </c>
      <c r="K83" s="4">
        <f>IF($I83='Auto Responses'!$J$11,20,IF($I83='Auto Responses'!$J$13,5,10))</f>
        <v>20</v>
      </c>
      <c r="L83" s="105">
        <f>IF($E83='Auto Responses'!$L$13, 'Auto Responses'!$J$5,IF(AND($D83='Auto Responses'!$J$27,$H83=""),'Auto Responses'!$J$5,IF(AND($D83='Auto Responses'!$J$27,$H83='Auto Responses'!$J$7),1,IF(AND($D83='Auto Responses'!$J$27,$H83='Auto Responses'!$J$8),0,IF(OR(AND($F83=$G83,$H83=""),$H83='Auto Responses'!$J$7),1,0)))))</f>
        <v>0</v>
      </c>
      <c r="M83" s="4" t="str">
        <f>VLOOKUP($A83,'Institution Evaluation'!$A$56:$K$345,11,0)&amp;""</f>
        <v>FALSE</v>
      </c>
      <c r="N83" s="4">
        <f>IF($J83='Auto Responses'!$J$11,1,IF(AND($J83="",$I83='Auto Responses'!$J$11),1,0))</f>
        <v>1</v>
      </c>
      <c r="O83" s="105">
        <f>IF(OR($F$17='Auto Responses'!$J$4,$E83='Auto Responses'!$L$13,$F83='Auto Responses'!$J$5),'Auto Responses'!$J$5,IF($J83="",$K83,IF($J83='Auto Responses'!$J$13,5,IF($J83='Auto Responses'!$J$12,10,IF($J83='Auto Responses'!$J$11,20,0)))))</f>
        <v>20</v>
      </c>
      <c r="P83" s="105">
        <f>IF(OR($O83='Auto Responses'!$J$5,$L83='Auto Responses'!$J$5),'Auto Responses'!$J$5,$O83*$L83)</f>
        <v>0</v>
      </c>
      <c r="Q83" s="105">
        <f t="shared" si="7"/>
        <v>0</v>
      </c>
      <c r="R83" s="105">
        <f t="shared" si="12"/>
        <v>0</v>
      </c>
      <c r="S83" s="105">
        <f t="shared" si="8"/>
        <v>0</v>
      </c>
      <c r="T83" s="105">
        <f t="shared" si="9"/>
        <v>1</v>
      </c>
      <c r="U83" s="105">
        <f t="shared" si="13"/>
        <v>27</v>
      </c>
      <c r="V83" s="105">
        <f t="shared" si="10"/>
        <v>27</v>
      </c>
    </row>
    <row r="84" spans="1:22" ht="56" x14ac:dyDescent="0.3">
      <c r="A84" s="4" t="str">
        <f>Questions!$A84</f>
        <v>AAAI-07</v>
      </c>
      <c r="B84" s="4" t="str">
        <f t="shared" si="11"/>
        <v>AAAI</v>
      </c>
      <c r="C84" s="4" t="str">
        <f>VLOOKUP($A84,Questions!$A$3:$L$333,2,0)&amp;""</f>
        <v>Are there any passwords/passphrases hard-coded into your systems or solutions?*</v>
      </c>
      <c r="D84" s="4" t="str">
        <f>VLOOKUP($A84,Questions!$A$3:$L$333,11,0)&amp;""</f>
        <v/>
      </c>
      <c r="E84" s="4" t="str">
        <f>VLOOKUP($A84,Questions!$A$3:$L$333,12,0)&amp;""</f>
        <v>Product</v>
      </c>
      <c r="F84" s="4" t="str">
        <f>VLOOKUP($A84,'Institution Evaluation'!$A$56:$K$345,3,0)&amp;""</f>
        <v>No</v>
      </c>
      <c r="G84" s="4" t="str">
        <f>VLOOKUP($A84,'Institution Evaluation'!$A$56:$K$345,7,0)&amp;""</f>
        <v>No</v>
      </c>
      <c r="H84" s="4" t="str">
        <f>VLOOKUP($A84,'Institution Evaluation'!$A$56:$K$345,8,0)&amp;""</f>
        <v/>
      </c>
      <c r="I84" s="4" t="str">
        <f>VLOOKUP($A84,'Institution Evaluation'!$A$56:$K$345,9,0)&amp;""</f>
        <v>Critical Importance</v>
      </c>
      <c r="J84" s="4" t="str">
        <f>VLOOKUP($A84,'Institution Evaluation'!$A$56:$K$345,10,0)&amp;""</f>
        <v/>
      </c>
      <c r="K84" s="4">
        <f>IF($I84='Auto Responses'!$J$11,20,IF($I84='Auto Responses'!$J$13,5,10))</f>
        <v>20</v>
      </c>
      <c r="L84" s="105">
        <f>IF($E84='Auto Responses'!$L$13, 'Auto Responses'!$J$5,IF(AND($D84='Auto Responses'!$J$27,$H84=""),'Auto Responses'!$J$5,IF(AND($D84='Auto Responses'!$J$27,$H84='Auto Responses'!$J$7),1,IF(AND($D84='Auto Responses'!$J$27,$H84='Auto Responses'!$J$8),0,IF(OR(AND($F84=$G84,$H84=""),$H84='Auto Responses'!$J$7),1,0)))))</f>
        <v>1</v>
      </c>
      <c r="M84" s="4" t="str">
        <f>VLOOKUP($A84,'Institution Evaluation'!$A$56:$K$345,11,0)&amp;""</f>
        <v>FALSE</v>
      </c>
      <c r="N84" s="4">
        <f>IF($J84='Auto Responses'!$J$11,1,IF(AND($J84="",$I84='Auto Responses'!$J$11),1,0))</f>
        <v>1</v>
      </c>
      <c r="O84" s="105">
        <f>IF(OR($F$17='Auto Responses'!$J$4,$E84='Auto Responses'!$L$13,$F84='Auto Responses'!$J$5),'Auto Responses'!$J$5,IF($J84="",$K84,IF($J84='Auto Responses'!$J$13,5,IF($J84='Auto Responses'!$J$12,10,IF($J84='Auto Responses'!$J$11,20,0)))))</f>
        <v>20</v>
      </c>
      <c r="P84" s="105">
        <f>IF(OR($O84='Auto Responses'!$J$5,$L84='Auto Responses'!$J$5),'Auto Responses'!$J$5,$O84*$L84)</f>
        <v>20</v>
      </c>
      <c r="Q84" s="105">
        <f t="shared" si="7"/>
        <v>0</v>
      </c>
      <c r="R84" s="105">
        <f t="shared" si="12"/>
        <v>0</v>
      </c>
      <c r="S84" s="105">
        <f t="shared" si="8"/>
        <v>0</v>
      </c>
      <c r="T84" s="105">
        <f t="shared" si="9"/>
        <v>1</v>
      </c>
      <c r="U84" s="105">
        <f t="shared" si="13"/>
        <v>28</v>
      </c>
      <c r="V84" s="105">
        <f t="shared" si="10"/>
        <v>28</v>
      </c>
    </row>
    <row r="85" spans="1:22" ht="56" x14ac:dyDescent="0.3">
      <c r="A85" s="4" t="str">
        <f>Questions!$A85</f>
        <v>AAAI-08</v>
      </c>
      <c r="B85" s="4" t="str">
        <f t="shared" si="11"/>
        <v>AAAI</v>
      </c>
      <c r="C85" s="4" t="str">
        <f>VLOOKUP($A85,Questions!$A$3:$L$333,2,0)&amp;""</f>
        <v>Are you storing any passwords in plaintext?*</v>
      </c>
      <c r="D85" s="4" t="str">
        <f>VLOOKUP($A85,Questions!$A$3:$L$333,11,0)&amp;""</f>
        <v/>
      </c>
      <c r="E85" s="4" t="str">
        <f>VLOOKUP($A85,Questions!$A$3:$L$333,12,0)&amp;""</f>
        <v>Product</v>
      </c>
      <c r="F85" s="4" t="str">
        <f>VLOOKUP($A85,'Institution Evaluation'!$A$56:$K$345,3,0)&amp;""</f>
        <v>No</v>
      </c>
      <c r="G85" s="4" t="str">
        <f>VLOOKUP($A85,'Institution Evaluation'!$A$56:$K$345,7,0)&amp;""</f>
        <v>No</v>
      </c>
      <c r="H85" s="4" t="str">
        <f>VLOOKUP($A85,'Institution Evaluation'!$A$56:$K$345,8,0)&amp;""</f>
        <v/>
      </c>
      <c r="I85" s="4" t="str">
        <f>VLOOKUP($A85,'Institution Evaluation'!$A$56:$K$345,9,0)&amp;""</f>
        <v>Critical Importance</v>
      </c>
      <c r="J85" s="4" t="str">
        <f>VLOOKUP($A85,'Institution Evaluation'!$A$56:$K$345,10,0)&amp;""</f>
        <v/>
      </c>
      <c r="K85" s="4">
        <f>IF($I85='Auto Responses'!$J$11,20,IF($I85='Auto Responses'!$J$13,5,10))</f>
        <v>20</v>
      </c>
      <c r="L85" s="105">
        <f>IF($E85='Auto Responses'!$L$13, 'Auto Responses'!$J$5,IF(AND($D85='Auto Responses'!$J$27,$H85=""),'Auto Responses'!$J$5,IF(AND($D85='Auto Responses'!$J$27,$H85='Auto Responses'!$J$7),1,IF(AND($D85='Auto Responses'!$J$27,$H85='Auto Responses'!$J$8),0,IF(OR(AND($F85=$G85,$H85=""),$H85='Auto Responses'!$J$7),1,0)))))</f>
        <v>1</v>
      </c>
      <c r="M85" s="4" t="str">
        <f>VLOOKUP($A85,'Institution Evaluation'!$A$56:$K$345,11,0)&amp;""</f>
        <v>FALSE</v>
      </c>
      <c r="N85" s="4">
        <f>IF($J85='Auto Responses'!$J$11,1,IF(AND($J85="",$I85='Auto Responses'!$J$11),1,0))</f>
        <v>1</v>
      </c>
      <c r="O85" s="105">
        <f>IF(OR($F$17='Auto Responses'!$J$4,$E85='Auto Responses'!$L$13,$F85='Auto Responses'!$J$5),'Auto Responses'!$J$5,IF($J85="",$K85,IF($J85='Auto Responses'!$J$13,5,IF($J85='Auto Responses'!$J$12,10,IF($J85='Auto Responses'!$J$11,20,0)))))</f>
        <v>20</v>
      </c>
      <c r="P85" s="105">
        <f>IF(OR($O85='Auto Responses'!$J$5,$L85='Auto Responses'!$J$5),'Auto Responses'!$J$5,$O85*$L85)</f>
        <v>20</v>
      </c>
      <c r="Q85" s="105">
        <f t="shared" si="7"/>
        <v>0</v>
      </c>
      <c r="R85" s="105">
        <f t="shared" si="12"/>
        <v>0</v>
      </c>
      <c r="S85" s="105">
        <f t="shared" si="8"/>
        <v>0</v>
      </c>
      <c r="T85" s="105">
        <f t="shared" si="9"/>
        <v>1</v>
      </c>
      <c r="U85" s="105">
        <f t="shared" si="13"/>
        <v>29</v>
      </c>
      <c r="V85" s="105">
        <f t="shared" si="10"/>
        <v>29</v>
      </c>
    </row>
    <row r="86" spans="1:22" ht="56" x14ac:dyDescent="0.3">
      <c r="A86" s="4" t="str">
        <f>Questions!$A86</f>
        <v>AAAI-09</v>
      </c>
      <c r="B86" s="4" t="str">
        <f t="shared" si="11"/>
        <v>AAAI</v>
      </c>
      <c r="C86" s="4" t="str">
        <f>VLOOKUP($A86,Questions!$A$3:$L$333,2,0)&amp;""</f>
        <v>Are audit logs available that include AT LEAST all of the following: login, logout, actions performed, and source IP address?*</v>
      </c>
      <c r="D86" s="4" t="str">
        <f>VLOOKUP($A86,Questions!$A$3:$L$333,11,0)&amp;""</f>
        <v/>
      </c>
      <c r="E86" s="4" t="str">
        <f>VLOOKUP($A86,Questions!$A$3:$L$333,12,0)&amp;""</f>
        <v>Product</v>
      </c>
      <c r="F86" s="4" t="str">
        <f>VLOOKUP($A86,'Institution Evaluation'!$A$56:$K$345,3,0)&amp;""</f>
        <v>No</v>
      </c>
      <c r="G86" s="4" t="str">
        <f>VLOOKUP($A86,'Institution Evaluation'!$A$56:$K$345,7,0)&amp;""</f>
        <v>Yes</v>
      </c>
      <c r="H86" s="4" t="str">
        <f>VLOOKUP($A86,'Institution Evaluation'!$A$56:$K$345,8,0)&amp;""</f>
        <v/>
      </c>
      <c r="I86" s="4" t="str">
        <f>VLOOKUP($A86,'Institution Evaluation'!$A$56:$K$345,9,0)&amp;""</f>
        <v>Critical Importance</v>
      </c>
      <c r="J86" s="4" t="str">
        <f>VLOOKUP($A86,'Institution Evaluation'!$A$56:$K$345,10,0)&amp;""</f>
        <v/>
      </c>
      <c r="K86" s="4">
        <f>IF($I86='Auto Responses'!$J$11,20,IF($I86='Auto Responses'!$J$13,5,10))</f>
        <v>20</v>
      </c>
      <c r="L86" s="105">
        <f>IF($E86='Auto Responses'!$L$13, 'Auto Responses'!$J$5,IF(AND($D86='Auto Responses'!$J$27,$H86=""),'Auto Responses'!$J$5,IF(AND($D86='Auto Responses'!$J$27,$H86='Auto Responses'!$J$7),1,IF(AND($D86='Auto Responses'!$J$27,$H86='Auto Responses'!$J$8),0,IF(OR(AND($F86=$G86,$H86=""),$H86='Auto Responses'!$J$7),1,0)))))</f>
        <v>0</v>
      </c>
      <c r="M86" s="4" t="str">
        <f>VLOOKUP($A86,'Institution Evaluation'!$A$56:$K$345,11,0)&amp;""</f>
        <v>FALSE</v>
      </c>
      <c r="N86" s="4">
        <f>IF($J86='Auto Responses'!$J$11,1,IF(AND($J86="",$I86='Auto Responses'!$J$11),1,0))</f>
        <v>1</v>
      </c>
      <c r="O86" s="105">
        <f>IF(OR($F$17='Auto Responses'!$J$4,$E86='Auto Responses'!$L$13,$F86='Auto Responses'!$J$5),'Auto Responses'!$J$5,IF($J86="",$K86,IF($J86='Auto Responses'!$J$13,5,IF($J86='Auto Responses'!$J$12,10,IF($J86='Auto Responses'!$J$11,20,0)))))</f>
        <v>20</v>
      </c>
      <c r="P86" s="105">
        <f>IF(OR($O86='Auto Responses'!$J$5,$L86='Auto Responses'!$J$5),'Auto Responses'!$J$5,$O86*$L86)</f>
        <v>0</v>
      </c>
      <c r="Q86" s="105">
        <f t="shared" si="7"/>
        <v>0</v>
      </c>
      <c r="R86" s="105">
        <f t="shared" si="12"/>
        <v>0</v>
      </c>
      <c r="S86" s="105">
        <f t="shared" si="8"/>
        <v>0</v>
      </c>
      <c r="T86" s="105">
        <f t="shared" si="9"/>
        <v>1</v>
      </c>
      <c r="U86" s="105">
        <f t="shared" si="13"/>
        <v>30</v>
      </c>
      <c r="V86" s="105">
        <f t="shared" si="10"/>
        <v>30</v>
      </c>
    </row>
    <row r="87" spans="1:22" ht="112" x14ac:dyDescent="0.3">
      <c r="A87" s="4" t="str">
        <f>Questions!$A87</f>
        <v>AAAI-10</v>
      </c>
      <c r="B87" s="4" t="str">
        <f t="shared" si="11"/>
        <v>AAAI</v>
      </c>
      <c r="C87" s="4" t="str">
        <f>VLOOKUP($A87,Questions!$A$3:$L$333,2,0)&amp;""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D87" s="4" t="str">
        <f>VLOOKUP($A87,Questions!$A$3:$L$333,11,0)&amp;""</f>
        <v/>
      </c>
      <c r="E87" s="4" t="str">
        <f>VLOOKUP($A87,Questions!$A$3:$L$333,12,0)&amp;""</f>
        <v>Not scored</v>
      </c>
      <c r="F87" s="4" t="str">
        <f>VLOOKUP($A87,'Institution Evaluation'!$A$56:$K$345,3,0)&amp;""</f>
        <v/>
      </c>
      <c r="G87" s="4" t="str">
        <f>VLOOKUP($A87,'Institution Evaluation'!$A$56:$K$345,7,0)&amp;""</f>
        <v>Not scored</v>
      </c>
      <c r="H87" s="4" t="str">
        <f>VLOOKUP($A87,'Institution Evaluation'!$A$56:$K$345,8,0)&amp;""</f>
        <v/>
      </c>
      <c r="I87" s="4" t="str">
        <f>VLOOKUP($A87,'Institution Evaluation'!$A$56:$K$345,9,0)&amp;""</f>
        <v/>
      </c>
      <c r="J87" s="4" t="str">
        <f>VLOOKUP($A87,'Institution Evaluation'!$A$56:$K$345,10,0)&amp;""</f>
        <v/>
      </c>
      <c r="K87" s="4">
        <f>IF($I87='Auto Responses'!$J$11,20,IF($I87='Auto Responses'!$J$13,5,10))</f>
        <v>10</v>
      </c>
      <c r="L87" s="105" t="str">
        <f>IF($E87='Auto Responses'!$L$13, 'Auto Responses'!$J$5,IF(AND($D87='Auto Responses'!$J$27,$H87=""),'Auto Responses'!$J$5,IF(AND($D87='Auto Responses'!$J$27,$H87='Auto Responses'!$J$7),1,IF(AND($D87='Auto Responses'!$J$27,$H87='Auto Responses'!$J$8),0,IF(OR(AND($F87=$G87,$H87=""),$H87='Auto Responses'!$J$7),1,0)))))</f>
        <v>N/A</v>
      </c>
      <c r="M87" s="4" t="str">
        <f>VLOOKUP($A87,'Institution Evaluation'!$A$56:$K$345,11,0)&amp;""</f>
        <v>FALSE</v>
      </c>
      <c r="N87" s="4">
        <f>IF($J87='Auto Responses'!$J$11,1,IF(AND($J87="",$I87='Auto Responses'!$J$11),1,0))</f>
        <v>0</v>
      </c>
      <c r="O87" s="105" t="str">
        <f>IF(OR($F$17='Auto Responses'!$J$4,$E87='Auto Responses'!$L$13,$F87='Auto Responses'!$J$5),'Auto Responses'!$J$5,IF($J87="",$K87,IF($J87='Auto Responses'!$J$13,5,IF($J87='Auto Responses'!$J$12,10,IF($J87='Auto Responses'!$J$11,20,0)))))</f>
        <v>N/A</v>
      </c>
      <c r="P87" s="105" t="str">
        <f>IF(OR($O87='Auto Responses'!$J$5,$L87='Auto Responses'!$J$5),'Auto Responses'!$J$5,$O87*$L87)</f>
        <v>N/A</v>
      </c>
      <c r="Q87" s="105">
        <f t="shared" si="7"/>
        <v>0</v>
      </c>
      <c r="R87" s="105">
        <f t="shared" si="12"/>
        <v>0</v>
      </c>
      <c r="S87" s="105">
        <f t="shared" si="8"/>
        <v>0</v>
      </c>
      <c r="T87" s="105">
        <f t="shared" si="9"/>
        <v>0</v>
      </c>
      <c r="U87" s="105">
        <f t="shared" si="13"/>
        <v>30</v>
      </c>
      <c r="V87" s="105">
        <f t="shared" si="10"/>
        <v>0</v>
      </c>
    </row>
    <row r="88" spans="1:22" ht="56" x14ac:dyDescent="0.3">
      <c r="A88" s="4" t="str">
        <f>Questions!$A88</f>
        <v>AAAI-11</v>
      </c>
      <c r="B88" s="4" t="str">
        <f t="shared" si="11"/>
        <v>AAAI</v>
      </c>
      <c r="C88" s="4" t="str">
        <f>VLOOKUP($A88,Questions!$A$3:$L$333,2,0)&amp;""</f>
        <v>Can you provide the institution documentation regarding the retention period for those logs, how logs are protected, and whether they are accessible to the customer (and if so, how)?*</v>
      </c>
      <c r="D88" s="4" t="str">
        <f>VLOOKUP($A88,Questions!$A$3:$L$333,11,0)&amp;""</f>
        <v/>
      </c>
      <c r="E88" s="4" t="str">
        <f>VLOOKUP($A88,Questions!$A$3:$L$333,12,0)&amp;""</f>
        <v>Product</v>
      </c>
      <c r="F88" s="4" t="str">
        <f>VLOOKUP($A88,'Institution Evaluation'!$A$56:$K$345,3,0)&amp;""</f>
        <v>Yes</v>
      </c>
      <c r="G88" s="4" t="str">
        <f>VLOOKUP($A88,'Institution Evaluation'!$A$56:$K$345,7,0)&amp;""</f>
        <v>Yes</v>
      </c>
      <c r="H88" s="4" t="str">
        <f>VLOOKUP($A88,'Institution Evaluation'!$A$56:$K$345,8,0)&amp;""</f>
        <v/>
      </c>
      <c r="I88" s="4" t="str">
        <f>VLOOKUP($A88,'Institution Evaluation'!$A$56:$K$345,9,0)&amp;""</f>
        <v>Critical Importance</v>
      </c>
      <c r="J88" s="4" t="str">
        <f>VLOOKUP($A88,'Institution Evaluation'!$A$56:$K$345,10,0)&amp;""</f>
        <v/>
      </c>
      <c r="K88" s="4">
        <f>IF($I88='Auto Responses'!$J$11,20,IF($I88='Auto Responses'!$J$13,5,10))</f>
        <v>20</v>
      </c>
      <c r="L88" s="105">
        <f>IF($E88='Auto Responses'!$L$13, 'Auto Responses'!$J$5,IF(AND($D88='Auto Responses'!$J$27,$H88=""),'Auto Responses'!$J$5,IF(AND($D88='Auto Responses'!$J$27,$H88='Auto Responses'!$J$7),1,IF(AND($D88='Auto Responses'!$J$27,$H88='Auto Responses'!$J$8),0,IF(OR(AND($F88=$G88,$H88=""),$H88='Auto Responses'!$J$7),1,0)))))</f>
        <v>1</v>
      </c>
      <c r="M88" s="4" t="str">
        <f>VLOOKUP($A88,'Institution Evaluation'!$A$56:$K$345,11,0)&amp;""</f>
        <v>FALSE</v>
      </c>
      <c r="N88" s="4">
        <f>IF($J88='Auto Responses'!$J$11,1,IF(AND($J88="",$I88='Auto Responses'!$J$11),1,0))</f>
        <v>1</v>
      </c>
      <c r="O88" s="105">
        <f>IF(OR($F$17='Auto Responses'!$J$4,$E88='Auto Responses'!$L$13,$F88='Auto Responses'!$J$5),'Auto Responses'!$J$5,IF($J88="",$K88,IF($J88='Auto Responses'!$J$13,5,IF($J88='Auto Responses'!$J$12,10,IF($J88='Auto Responses'!$J$11,20,0)))))</f>
        <v>20</v>
      </c>
      <c r="P88" s="105">
        <f>IF(OR($O88='Auto Responses'!$J$5,$L88='Auto Responses'!$J$5),'Auto Responses'!$J$5,$O88*$L88)</f>
        <v>20</v>
      </c>
      <c r="Q88" s="105">
        <f t="shared" si="7"/>
        <v>0</v>
      </c>
      <c r="R88" s="105">
        <f t="shared" si="12"/>
        <v>0</v>
      </c>
      <c r="S88" s="105">
        <f t="shared" si="8"/>
        <v>0</v>
      </c>
      <c r="T88" s="105">
        <f t="shared" si="9"/>
        <v>1</v>
      </c>
      <c r="U88" s="105">
        <f t="shared" si="13"/>
        <v>31</v>
      </c>
      <c r="V88" s="105">
        <f t="shared" si="10"/>
        <v>31</v>
      </c>
    </row>
    <row r="89" spans="1:22" ht="56" x14ac:dyDescent="0.3">
      <c r="A89" s="4" t="str">
        <f>Questions!$A89</f>
        <v>AAAI-12</v>
      </c>
      <c r="B89" s="4" t="str">
        <f t="shared" si="11"/>
        <v>AAAI</v>
      </c>
      <c r="C89" s="4" t="str">
        <f>VLOOKUP($A89,Questions!$A$3:$L$333,2,0)&amp;""</f>
        <v>For customers not using SSO, does your application support integration with other authentication and authorization systems?</v>
      </c>
      <c r="D89" s="4" t="str">
        <f>VLOOKUP($A89,Questions!$A$3:$L$333,11,0)&amp;""</f>
        <v/>
      </c>
      <c r="E89" s="4" t="str">
        <f>VLOOKUP($A89,Questions!$A$3:$L$333,12,0)&amp;""</f>
        <v>Product</v>
      </c>
      <c r="F89" s="4" t="str">
        <f>VLOOKUP($A89,'Institution Evaluation'!$A$56:$K$345,3,0)&amp;""</f>
        <v>No</v>
      </c>
      <c r="G89" s="4" t="str">
        <f>VLOOKUP($A89,'Institution Evaluation'!$A$56:$K$345,7,0)&amp;""</f>
        <v>Yes</v>
      </c>
      <c r="H89" s="4" t="str">
        <f>VLOOKUP($A89,'Institution Evaluation'!$A$56:$K$345,8,0)&amp;""</f>
        <v/>
      </c>
      <c r="I89" s="4" t="str">
        <f>VLOOKUP($A89,'Institution Evaluation'!$A$56:$K$345,9,0)&amp;""</f>
        <v>Standard Importance</v>
      </c>
      <c r="J89" s="4" t="str">
        <f>VLOOKUP($A89,'Institution Evaluation'!$A$56:$K$345,10,0)&amp;""</f>
        <v/>
      </c>
      <c r="K89" s="4">
        <f>IF($I89='Auto Responses'!$J$11,20,IF($I89='Auto Responses'!$J$13,5,10))</f>
        <v>10</v>
      </c>
      <c r="L89" s="105">
        <f>IF($E89='Auto Responses'!$L$13, 'Auto Responses'!$J$5,IF(AND($D89='Auto Responses'!$J$27,$H89=""),'Auto Responses'!$J$5,IF(AND($D89='Auto Responses'!$J$27,$H89='Auto Responses'!$J$7),1,IF(AND($D89='Auto Responses'!$J$27,$H89='Auto Responses'!$J$8),0,IF(OR(AND($F89=$G89,$H89=""),$H89='Auto Responses'!$J$7),1,0)))))</f>
        <v>0</v>
      </c>
      <c r="M89" s="4" t="str">
        <f>VLOOKUP($A89,'Institution Evaluation'!$A$56:$K$345,11,0)&amp;""</f>
        <v>FALSE</v>
      </c>
      <c r="N89" s="4">
        <f>IF($J89='Auto Responses'!$J$11,1,IF(AND($J89="",$I89='Auto Responses'!$J$11),1,0))</f>
        <v>0</v>
      </c>
      <c r="O89" s="105">
        <f>IF(OR($F$17='Auto Responses'!$J$4,$E89='Auto Responses'!$L$13,$F89='Auto Responses'!$J$5),'Auto Responses'!$J$5,IF($J89="",$K89,IF($J89='Auto Responses'!$J$13,5,IF($J89='Auto Responses'!$J$12,10,IF($J89='Auto Responses'!$J$11,20,0)))))</f>
        <v>10</v>
      </c>
      <c r="P89" s="105">
        <f>IF(OR($O89='Auto Responses'!$J$5,$L89='Auto Responses'!$J$5),'Auto Responses'!$J$5,$O89*$L89)</f>
        <v>0</v>
      </c>
      <c r="Q89" s="105">
        <f t="shared" si="7"/>
        <v>0</v>
      </c>
      <c r="R89" s="105">
        <f t="shared" si="12"/>
        <v>0</v>
      </c>
      <c r="S89" s="105">
        <f t="shared" si="8"/>
        <v>0</v>
      </c>
      <c r="T89" s="105">
        <f t="shared" si="9"/>
        <v>0</v>
      </c>
      <c r="U89" s="105">
        <f t="shared" si="13"/>
        <v>31</v>
      </c>
      <c r="V89" s="105">
        <f t="shared" si="10"/>
        <v>0</v>
      </c>
    </row>
    <row r="90" spans="1:22" ht="56" x14ac:dyDescent="0.3">
      <c r="A90" s="4" t="str">
        <f>Questions!$A90</f>
        <v>AAAI-13</v>
      </c>
      <c r="B90" s="4" t="str">
        <f t="shared" si="11"/>
        <v>AAAI</v>
      </c>
      <c r="C90" s="4" t="str">
        <f>VLOOKUP($A90,Questions!$A$3:$L$333,2,0)&amp;""</f>
        <v>Do you allow the customer to specify attribute mappings for any needed information beyond a user identifier? (e.g., Reference eduPerson, ePPA/ePPN/ePE)</v>
      </c>
      <c r="D90" s="4" t="str">
        <f>VLOOKUP($A90,Questions!$A$3:$L$333,11,0)&amp;""</f>
        <v/>
      </c>
      <c r="E90" s="4" t="str">
        <f>VLOOKUP($A90,Questions!$A$3:$L$333,12,0)&amp;""</f>
        <v>Product</v>
      </c>
      <c r="F90" s="4" t="str">
        <f>VLOOKUP($A90,'Institution Evaluation'!$A$56:$K$345,3,0)&amp;""</f>
        <v>No</v>
      </c>
      <c r="G90" s="4" t="str">
        <f>VLOOKUP($A90,'Institution Evaluation'!$A$56:$K$345,7,0)&amp;""</f>
        <v>Yes</v>
      </c>
      <c r="H90" s="4" t="str">
        <f>VLOOKUP($A90,'Institution Evaluation'!$A$56:$K$345,8,0)&amp;""</f>
        <v/>
      </c>
      <c r="I90" s="4" t="str">
        <f>VLOOKUP($A90,'Institution Evaluation'!$A$56:$K$345,9,0)&amp;""</f>
        <v>Standard Importance</v>
      </c>
      <c r="J90" s="4" t="str">
        <f>VLOOKUP($A90,'Institution Evaluation'!$A$56:$K$345,10,0)&amp;""</f>
        <v/>
      </c>
      <c r="K90" s="4">
        <f>IF($I90='Auto Responses'!$J$11,20,IF($I90='Auto Responses'!$J$13,5,10))</f>
        <v>10</v>
      </c>
      <c r="L90" s="105">
        <f>IF($E90='Auto Responses'!$L$13, 'Auto Responses'!$J$5,IF(AND($D90='Auto Responses'!$J$27,$H90=""),'Auto Responses'!$J$5,IF(AND($D90='Auto Responses'!$J$27,$H90='Auto Responses'!$J$7),1,IF(AND($D90='Auto Responses'!$J$27,$H90='Auto Responses'!$J$8),0,IF(OR(AND($F90=$G90,$H90=""),$H90='Auto Responses'!$J$7),1,0)))))</f>
        <v>0</v>
      </c>
      <c r="M90" s="4" t="str">
        <f>VLOOKUP($A90,'Institution Evaluation'!$A$56:$K$345,11,0)&amp;""</f>
        <v>FALSE</v>
      </c>
      <c r="N90" s="4">
        <f>IF($J90='Auto Responses'!$J$11,1,IF(AND($J90="",$I90='Auto Responses'!$J$11),1,0))</f>
        <v>0</v>
      </c>
      <c r="O90" s="105">
        <f>IF(OR($F$17='Auto Responses'!$J$4,$E90='Auto Responses'!$L$13,$F90='Auto Responses'!$J$5),'Auto Responses'!$J$5,IF($J90="",$K90,IF($J90='Auto Responses'!$J$13,5,IF($J90='Auto Responses'!$J$12,10,IF($J90='Auto Responses'!$J$11,20,0)))))</f>
        <v>10</v>
      </c>
      <c r="P90" s="105">
        <f>IF(OR($O90='Auto Responses'!$J$5,$L90='Auto Responses'!$J$5),'Auto Responses'!$J$5,$O90*$L90)</f>
        <v>0</v>
      </c>
      <c r="Q90" s="105">
        <f t="shared" si="7"/>
        <v>0</v>
      </c>
      <c r="R90" s="105">
        <f t="shared" si="12"/>
        <v>0</v>
      </c>
      <c r="S90" s="105">
        <f t="shared" si="8"/>
        <v>0</v>
      </c>
      <c r="T90" s="105">
        <f t="shared" si="9"/>
        <v>0</v>
      </c>
      <c r="U90" s="105">
        <f t="shared" si="13"/>
        <v>31</v>
      </c>
      <c r="V90" s="105">
        <f t="shared" si="10"/>
        <v>0</v>
      </c>
    </row>
    <row r="91" spans="1:22" ht="56" x14ac:dyDescent="0.3">
      <c r="A91" s="4" t="str">
        <f>Questions!$A91</f>
        <v>AAAI-14</v>
      </c>
      <c r="B91" s="4" t="str">
        <f t="shared" si="11"/>
        <v>AAAI</v>
      </c>
      <c r="C91" s="4" t="str">
        <f>VLOOKUP($A91,Questions!$A$3:$L$333,2,0)&amp;""</f>
        <v>For customers not using SSO, does your application support directory integration for user accounts?</v>
      </c>
      <c r="D91" s="4" t="str">
        <f>VLOOKUP($A91,Questions!$A$3:$L$333,11,0)&amp;""</f>
        <v/>
      </c>
      <c r="E91" s="4" t="str">
        <f>VLOOKUP($A91,Questions!$A$3:$L$333,12,0)&amp;""</f>
        <v>Product</v>
      </c>
      <c r="F91" s="4" t="str">
        <f>VLOOKUP($A91,'Institution Evaluation'!$A$56:$K$345,3,0)&amp;""</f>
        <v>No</v>
      </c>
      <c r="G91" s="4" t="str">
        <f>VLOOKUP($A91,'Institution Evaluation'!$A$56:$K$345,7,0)&amp;""</f>
        <v>Yes</v>
      </c>
      <c r="H91" s="4" t="str">
        <f>VLOOKUP($A91,'Institution Evaluation'!$A$56:$K$345,8,0)&amp;""</f>
        <v/>
      </c>
      <c r="I91" s="4" t="str">
        <f>VLOOKUP($A91,'Institution Evaluation'!$A$56:$K$345,9,0)&amp;""</f>
        <v>Standard Importance</v>
      </c>
      <c r="J91" s="4" t="str">
        <f>VLOOKUP($A91,'Institution Evaluation'!$A$56:$K$345,10,0)&amp;""</f>
        <v/>
      </c>
      <c r="K91" s="4">
        <f>IF($I91='Auto Responses'!$J$11,20,IF($I91='Auto Responses'!$J$13,5,10))</f>
        <v>10</v>
      </c>
      <c r="L91" s="105">
        <f>IF($E91='Auto Responses'!$L$13, 'Auto Responses'!$J$5,IF(AND($D91='Auto Responses'!$J$27,$H91=""),'Auto Responses'!$J$5,IF(AND($D91='Auto Responses'!$J$27,$H91='Auto Responses'!$J$7),1,IF(AND($D91='Auto Responses'!$J$27,$H91='Auto Responses'!$J$8),0,IF(OR(AND($F91=$G91,$H91=""),$H91='Auto Responses'!$J$7),1,0)))))</f>
        <v>0</v>
      </c>
      <c r="M91" s="4" t="str">
        <f>VLOOKUP($A91,'Institution Evaluation'!$A$56:$K$345,11,0)&amp;""</f>
        <v>FALSE</v>
      </c>
      <c r="N91" s="4">
        <f>IF($J91='Auto Responses'!$J$11,1,IF(AND($J91="",$I91='Auto Responses'!$J$11),1,0))</f>
        <v>0</v>
      </c>
      <c r="O91" s="105">
        <f>IF(OR($F$17='Auto Responses'!$J$4,$E91='Auto Responses'!$L$13,$F91='Auto Responses'!$J$5),'Auto Responses'!$J$5,IF($J91="",$K91,IF($J91='Auto Responses'!$J$13,5,IF($J91='Auto Responses'!$J$12,10,IF($J91='Auto Responses'!$J$11,20,0)))))</f>
        <v>10</v>
      </c>
      <c r="P91" s="105">
        <f>IF(OR($O91='Auto Responses'!$J$5,$L91='Auto Responses'!$J$5),'Auto Responses'!$J$5,$O91*$L91)</f>
        <v>0</v>
      </c>
      <c r="Q91" s="105">
        <f t="shared" si="7"/>
        <v>0</v>
      </c>
      <c r="R91" s="105">
        <f t="shared" si="12"/>
        <v>0</v>
      </c>
      <c r="S91" s="105">
        <f t="shared" si="8"/>
        <v>0</v>
      </c>
      <c r="T91" s="105">
        <f t="shared" si="9"/>
        <v>0</v>
      </c>
      <c r="U91" s="105">
        <f t="shared" si="13"/>
        <v>31</v>
      </c>
      <c r="V91" s="105">
        <f t="shared" si="10"/>
        <v>0</v>
      </c>
    </row>
    <row r="92" spans="1:22" ht="56" x14ac:dyDescent="0.3">
      <c r="A92" s="4" t="str">
        <f>Questions!$A92</f>
        <v>AAAI-15</v>
      </c>
      <c r="B92" s="4" t="str">
        <f t="shared" si="11"/>
        <v>AAAI</v>
      </c>
      <c r="C92" s="4" t="str">
        <f>VLOOKUP($A92,Questions!$A$3:$L$333,2,0)&amp;""</f>
        <v>Does your solution support any of the following web SSO standards: SAML2 (with redirect flow), OIDC, CAS, or other?</v>
      </c>
      <c r="D92" s="4" t="str">
        <f>VLOOKUP($A92,Questions!$A$3:$L$333,11,0)&amp;""</f>
        <v/>
      </c>
      <c r="E92" s="4" t="str">
        <f>VLOOKUP($A92,Questions!$A$3:$L$333,12,0)&amp;""</f>
        <v>Product</v>
      </c>
      <c r="F92" s="4" t="str">
        <f>VLOOKUP($A92,'Institution Evaluation'!$A$56:$K$345,3,0)&amp;""</f>
        <v>Yes</v>
      </c>
      <c r="G92" s="4" t="str">
        <f>VLOOKUP($A92,'Institution Evaluation'!$A$56:$K$345,7,0)&amp;""</f>
        <v>Yes</v>
      </c>
      <c r="H92" s="4" t="str">
        <f>VLOOKUP($A92,'Institution Evaluation'!$A$56:$K$345,8,0)&amp;""</f>
        <v/>
      </c>
      <c r="I92" s="4" t="str">
        <f>VLOOKUP($A92,'Institution Evaluation'!$A$56:$K$345,9,0)&amp;""</f>
        <v>Minor Importance</v>
      </c>
      <c r="J92" s="4" t="str">
        <f>VLOOKUP($A92,'Institution Evaluation'!$A$56:$K$345,10,0)&amp;""</f>
        <v/>
      </c>
      <c r="K92" s="4">
        <f>IF($I92='Auto Responses'!$J$11,20,IF($I92='Auto Responses'!$J$13,5,10))</f>
        <v>5</v>
      </c>
      <c r="L92" s="105">
        <f>IF($E92='Auto Responses'!$L$13, 'Auto Responses'!$J$5,IF(AND($D92='Auto Responses'!$J$27,$H92=""),'Auto Responses'!$J$5,IF(AND($D92='Auto Responses'!$J$27,$H92='Auto Responses'!$J$7),1,IF(AND($D92='Auto Responses'!$J$27,$H92='Auto Responses'!$J$8),0,IF(OR(AND($F92=$G92,$H92=""),$H92='Auto Responses'!$J$7),1,0)))))</f>
        <v>1</v>
      </c>
      <c r="M92" s="4" t="str">
        <f>VLOOKUP($A92,'Institution Evaluation'!$A$56:$K$345,11,0)&amp;""</f>
        <v>FALSE</v>
      </c>
      <c r="N92" s="4">
        <f>IF($J92='Auto Responses'!$J$11,1,IF(AND($J92="",$I92='Auto Responses'!$J$11),1,0))</f>
        <v>0</v>
      </c>
      <c r="O92" s="105">
        <f>IF(OR($F$17='Auto Responses'!$J$4,$E92='Auto Responses'!$L$13,$F92='Auto Responses'!$J$5),'Auto Responses'!$J$5,IF($J92="",$K92,IF($J92='Auto Responses'!$J$13,5,IF($J92='Auto Responses'!$J$12,10,IF($J92='Auto Responses'!$J$11,20,0)))))</f>
        <v>5</v>
      </c>
      <c r="P92" s="105">
        <f>IF(OR($O92='Auto Responses'!$J$5,$L92='Auto Responses'!$J$5),'Auto Responses'!$J$5,$O92*$L92)</f>
        <v>5</v>
      </c>
      <c r="Q92" s="105">
        <f t="shared" si="7"/>
        <v>0</v>
      </c>
      <c r="R92" s="105">
        <f t="shared" si="12"/>
        <v>0</v>
      </c>
      <c r="S92" s="105">
        <f t="shared" si="8"/>
        <v>0</v>
      </c>
      <c r="T92" s="105">
        <f t="shared" si="9"/>
        <v>0</v>
      </c>
      <c r="U92" s="105">
        <f t="shared" si="13"/>
        <v>31</v>
      </c>
      <c r="V92" s="105">
        <f t="shared" si="10"/>
        <v>0</v>
      </c>
    </row>
    <row r="93" spans="1:22" ht="56" x14ac:dyDescent="0.3">
      <c r="A93" s="4" t="str">
        <f>Questions!$A93</f>
        <v>AAAI-16</v>
      </c>
      <c r="B93" s="4" t="str">
        <f t="shared" si="11"/>
        <v>AAAI</v>
      </c>
      <c r="C93" s="4" t="str">
        <f>VLOOKUP($A93,Questions!$A$3:$L$333,2,0)&amp;""</f>
        <v>Do you support differentiation between email address and user identifier?</v>
      </c>
      <c r="D93" s="4" t="str">
        <f>VLOOKUP($A93,Questions!$A$3:$L$333,11,0)&amp;""</f>
        <v/>
      </c>
      <c r="E93" s="4" t="str">
        <f>VLOOKUP($A93,Questions!$A$3:$L$333,12,0)&amp;""</f>
        <v>Product</v>
      </c>
      <c r="F93" s="4" t="str">
        <f>VLOOKUP($A93,'Institution Evaluation'!$A$56:$K$345,3,0)&amp;""</f>
        <v>No</v>
      </c>
      <c r="G93" s="4" t="str">
        <f>VLOOKUP($A93,'Institution Evaluation'!$A$56:$K$345,7,0)&amp;""</f>
        <v>Yes</v>
      </c>
      <c r="H93" s="4" t="str">
        <f>VLOOKUP($A93,'Institution Evaluation'!$A$56:$K$345,8,0)&amp;""</f>
        <v/>
      </c>
      <c r="I93" s="4" t="str">
        <f>VLOOKUP($A93,'Institution Evaluation'!$A$56:$K$345,9,0)&amp;""</f>
        <v>Minor Importance</v>
      </c>
      <c r="J93" s="4" t="str">
        <f>VLOOKUP($A93,'Institution Evaluation'!$A$56:$K$345,10,0)&amp;""</f>
        <v/>
      </c>
      <c r="K93" s="4">
        <f>IF($I93='Auto Responses'!$J$11,20,IF($I93='Auto Responses'!$J$13,5,10))</f>
        <v>5</v>
      </c>
      <c r="L93" s="105">
        <f>IF($E93='Auto Responses'!$L$13, 'Auto Responses'!$J$5,IF(AND($D93='Auto Responses'!$J$27,$H93=""),'Auto Responses'!$J$5,IF(AND($D93='Auto Responses'!$J$27,$H93='Auto Responses'!$J$7),1,IF(AND($D93='Auto Responses'!$J$27,$H93='Auto Responses'!$J$8),0,IF(OR(AND($F93=$G93,$H93=""),$H93='Auto Responses'!$J$7),1,0)))))</f>
        <v>0</v>
      </c>
      <c r="M93" s="4" t="str">
        <f>VLOOKUP($A93,'Institution Evaluation'!$A$56:$K$345,11,0)&amp;""</f>
        <v>FALSE</v>
      </c>
      <c r="N93" s="4">
        <f>IF($J93='Auto Responses'!$J$11,1,IF(AND($J93="",$I93='Auto Responses'!$J$11),1,0))</f>
        <v>0</v>
      </c>
      <c r="O93" s="105">
        <f>IF(OR($F$17='Auto Responses'!$J$4,$E93='Auto Responses'!$L$13,$F93='Auto Responses'!$J$5),'Auto Responses'!$J$5,IF($J93="",$K93,IF($J93='Auto Responses'!$J$13,5,IF($J93='Auto Responses'!$J$12,10,IF($J93='Auto Responses'!$J$11,20,0)))))</f>
        <v>5</v>
      </c>
      <c r="P93" s="105">
        <f>IF(OR($O93='Auto Responses'!$J$5,$L93='Auto Responses'!$J$5),'Auto Responses'!$J$5,$O93*$L93)</f>
        <v>0</v>
      </c>
      <c r="Q93" s="105">
        <f t="shared" si="7"/>
        <v>0</v>
      </c>
      <c r="R93" s="105">
        <f t="shared" si="12"/>
        <v>0</v>
      </c>
      <c r="S93" s="105">
        <f t="shared" si="8"/>
        <v>0</v>
      </c>
      <c r="T93" s="105">
        <f t="shared" si="9"/>
        <v>0</v>
      </c>
      <c r="U93" s="105">
        <f t="shared" si="13"/>
        <v>31</v>
      </c>
      <c r="V93" s="105">
        <f t="shared" si="10"/>
        <v>0</v>
      </c>
    </row>
    <row r="94" spans="1:22" ht="56" x14ac:dyDescent="0.3">
      <c r="A94" s="4" t="str">
        <f>Questions!$A94</f>
        <v>AAAI-17</v>
      </c>
      <c r="B94" s="4" t="str">
        <f t="shared" si="11"/>
        <v>AAAI</v>
      </c>
      <c r="C94" s="4" t="str">
        <f>VLOOKUP($A94,Questions!$A$3:$L$333,2,0)&amp;""</f>
        <v>For customers not using SSO, does your application and/or user frontend/portal support multifactor authentication (e.g., Duo, Google Authenticator, OTP, etc.)?</v>
      </c>
      <c r="D94" s="4" t="str">
        <f>VLOOKUP($A94,Questions!$A$3:$L$333,11,0)&amp;""</f>
        <v/>
      </c>
      <c r="E94" s="4" t="str">
        <f>VLOOKUP($A94,Questions!$A$3:$L$333,12,0)&amp;""</f>
        <v>Product</v>
      </c>
      <c r="F94" s="4" t="str">
        <f>VLOOKUP($A94,'Institution Evaluation'!$A$56:$K$345,3,0)&amp;""</f>
        <v>Yes</v>
      </c>
      <c r="G94" s="4" t="str">
        <f>VLOOKUP($A94,'Institution Evaluation'!$A$56:$K$345,7,0)&amp;""</f>
        <v>Yes</v>
      </c>
      <c r="H94" s="4" t="str">
        <f>VLOOKUP($A94,'Institution Evaluation'!$A$56:$K$345,8,0)&amp;""</f>
        <v/>
      </c>
      <c r="I94" s="4" t="str">
        <f>VLOOKUP($A94,'Institution Evaluation'!$A$56:$K$345,9,0)&amp;""</f>
        <v>Minor Importance</v>
      </c>
      <c r="J94" s="4" t="str">
        <f>VLOOKUP($A94,'Institution Evaluation'!$A$56:$K$345,10,0)&amp;""</f>
        <v/>
      </c>
      <c r="K94" s="4">
        <f>IF($I94='Auto Responses'!$J$11,20,IF($I94='Auto Responses'!$J$13,5,10))</f>
        <v>5</v>
      </c>
      <c r="L94" s="105">
        <f>IF($E94='Auto Responses'!$L$13, 'Auto Responses'!$J$5,IF(AND($D94='Auto Responses'!$J$27,$H94=""),'Auto Responses'!$J$5,IF(AND($D94='Auto Responses'!$J$27,$H94='Auto Responses'!$J$7),1,IF(AND($D94='Auto Responses'!$J$27,$H94='Auto Responses'!$J$8),0,IF(OR(AND($F94=$G94,$H94=""),$H94='Auto Responses'!$J$7),1,0)))))</f>
        <v>1</v>
      </c>
      <c r="M94" s="4" t="str">
        <f>VLOOKUP($A94,'Institution Evaluation'!$A$56:$K$345,11,0)&amp;""</f>
        <v>FALSE</v>
      </c>
      <c r="N94" s="4">
        <f>IF($J94='Auto Responses'!$J$11,1,IF(AND($J94="",$I94='Auto Responses'!$J$11),1,0))</f>
        <v>0</v>
      </c>
      <c r="O94" s="105">
        <f>IF(OR($F$17='Auto Responses'!$J$4,$E94='Auto Responses'!$L$13,$F94='Auto Responses'!$J$5),'Auto Responses'!$J$5,IF($J94="",$K94,IF($J94='Auto Responses'!$J$13,5,IF($J94='Auto Responses'!$J$12,10,IF($J94='Auto Responses'!$J$11,20,0)))))</f>
        <v>5</v>
      </c>
      <c r="P94" s="105">
        <f>IF(OR($O94='Auto Responses'!$J$5,$L94='Auto Responses'!$J$5),'Auto Responses'!$J$5,$O94*$L94)</f>
        <v>5</v>
      </c>
      <c r="Q94" s="105">
        <f t="shared" si="7"/>
        <v>0</v>
      </c>
      <c r="R94" s="105">
        <f t="shared" si="12"/>
        <v>0</v>
      </c>
      <c r="S94" s="105">
        <f t="shared" si="8"/>
        <v>0</v>
      </c>
      <c r="T94" s="105">
        <f t="shared" si="9"/>
        <v>0</v>
      </c>
      <c r="U94" s="105">
        <f t="shared" si="13"/>
        <v>31</v>
      </c>
      <c r="V94" s="105">
        <f t="shared" si="10"/>
        <v>0</v>
      </c>
    </row>
    <row r="95" spans="1:22" ht="56" x14ac:dyDescent="0.3">
      <c r="A95" s="4" t="str">
        <f>Questions!$A95</f>
        <v>AAAI-18</v>
      </c>
      <c r="B95" s="4" t="str">
        <f t="shared" si="11"/>
        <v>AAAI</v>
      </c>
      <c r="C95" s="4" t="str">
        <f>VLOOKUP($A95,Questions!$A$3:$L$333,2,0)&amp;""</f>
        <v>Does your application automatically lock the session or log out an account after a period of inactivity?</v>
      </c>
      <c r="D95" s="4" t="str">
        <f>VLOOKUP($A95,Questions!$A$3:$L$333,11,0)&amp;""</f>
        <v/>
      </c>
      <c r="E95" s="4" t="str">
        <f>VLOOKUP($A95,Questions!$A$3:$L$333,12,0)&amp;""</f>
        <v>Product</v>
      </c>
      <c r="F95" s="4" t="str">
        <f>VLOOKUP($A95,'Institution Evaluation'!$A$56:$K$345,3,0)&amp;""</f>
        <v>Yes</v>
      </c>
      <c r="G95" s="4" t="str">
        <f>VLOOKUP($A95,'Institution Evaluation'!$A$56:$K$345,7,0)&amp;""</f>
        <v>Yes</v>
      </c>
      <c r="H95" s="4" t="str">
        <f>VLOOKUP($A95,'Institution Evaluation'!$A$56:$K$345,8,0)&amp;""</f>
        <v/>
      </c>
      <c r="I95" s="4" t="str">
        <f>VLOOKUP($A95,'Institution Evaluation'!$A$56:$K$345,9,0)&amp;""</f>
        <v>Minor Importance</v>
      </c>
      <c r="J95" s="4" t="str">
        <f>VLOOKUP($A95,'Institution Evaluation'!$A$56:$K$345,10,0)&amp;""</f>
        <v/>
      </c>
      <c r="K95" s="4">
        <f>IF($I95='Auto Responses'!$J$11,20,IF($I95='Auto Responses'!$J$13,5,10))</f>
        <v>5</v>
      </c>
      <c r="L95" s="105">
        <f>IF($E95='Auto Responses'!$L$13, 'Auto Responses'!$J$5,IF(AND($D95='Auto Responses'!$J$27,$H95=""),'Auto Responses'!$J$5,IF(AND($D95='Auto Responses'!$J$27,$H95='Auto Responses'!$J$7),1,IF(AND($D95='Auto Responses'!$J$27,$H95='Auto Responses'!$J$8),0,IF(OR(AND($F95=$G95,$H95=""),$H95='Auto Responses'!$J$7),1,0)))))</f>
        <v>1</v>
      </c>
      <c r="M95" s="4" t="str">
        <f>VLOOKUP($A95,'Institution Evaluation'!$A$56:$K$345,11,0)&amp;""</f>
        <v>FALSE</v>
      </c>
      <c r="N95" s="4">
        <f>IF($J95='Auto Responses'!$J$11,1,IF(AND($J95="",$I95='Auto Responses'!$J$11),1,0))</f>
        <v>0</v>
      </c>
      <c r="O95" s="105">
        <f>IF(OR($F$17='Auto Responses'!$J$4,$E95='Auto Responses'!$L$13,$F95='Auto Responses'!$J$5),'Auto Responses'!$J$5,IF($J95="",$K95,IF($J95='Auto Responses'!$J$13,5,IF($J95='Auto Responses'!$J$12,10,IF($J95='Auto Responses'!$J$11,20,0)))))</f>
        <v>5</v>
      </c>
      <c r="P95" s="105">
        <f>IF(OR($O95='Auto Responses'!$J$5,$L95='Auto Responses'!$J$5),'Auto Responses'!$J$5,$O95*$L95)</f>
        <v>5</v>
      </c>
      <c r="Q95" s="105">
        <f t="shared" si="7"/>
        <v>0</v>
      </c>
      <c r="R95" s="105">
        <f t="shared" si="12"/>
        <v>0</v>
      </c>
      <c r="S95" s="105">
        <f t="shared" si="8"/>
        <v>0</v>
      </c>
      <c r="T95" s="105">
        <f t="shared" si="9"/>
        <v>0</v>
      </c>
      <c r="U95" s="105">
        <f t="shared" si="13"/>
        <v>31</v>
      </c>
      <c r="V95" s="105">
        <f t="shared" si="10"/>
        <v>0</v>
      </c>
    </row>
    <row r="96" spans="1:22" ht="56" x14ac:dyDescent="0.3">
      <c r="A96" s="4" t="str">
        <f>Questions!$A96</f>
        <v>CHNG-01</v>
      </c>
      <c r="B96" s="4" t="str">
        <f t="shared" si="11"/>
        <v>CHNG</v>
      </c>
      <c r="C96" s="4" t="str">
        <f>VLOOKUP($A96,Questions!$A$3:$L$333,2,0)&amp;""</f>
        <v>Will the institution be notified of major changes to your environment that could impact the institution's security posture?*</v>
      </c>
      <c r="D96" s="4" t="str">
        <f>VLOOKUP($A96,Questions!$A$3:$L$333,11,0)&amp;""</f>
        <v/>
      </c>
      <c r="E96" s="4" t="str">
        <f>VLOOKUP($A96,Questions!$A$3:$L$333,12,0)&amp;""</f>
        <v>Organization</v>
      </c>
      <c r="F96" s="4" t="str">
        <f>VLOOKUP($A96,'Institution Evaluation'!$A$56:$K$345,3,0)&amp;""</f>
        <v>Yes</v>
      </c>
      <c r="G96" s="4" t="str">
        <f>VLOOKUP($A96,'Institution Evaluation'!$A$56:$K$345,7,0)&amp;""</f>
        <v>Yes</v>
      </c>
      <c r="H96" s="4" t="str">
        <f>VLOOKUP($A96,'Institution Evaluation'!$A$56:$K$345,8,0)&amp;""</f>
        <v/>
      </c>
      <c r="I96" s="4" t="str">
        <f>VLOOKUP($A96,'Institution Evaluation'!$A$56:$K$345,9,0)&amp;""</f>
        <v>Critical Importance</v>
      </c>
      <c r="J96" s="4" t="str">
        <f>VLOOKUP($A96,'Institution Evaluation'!$A$56:$K$345,10,0)&amp;""</f>
        <v/>
      </c>
      <c r="K96" s="4">
        <f>IF($I96='Auto Responses'!$J$11,20,IF($I96='Auto Responses'!$J$13,5,10))</f>
        <v>20</v>
      </c>
      <c r="L96" s="105">
        <f>IF($E96='Auto Responses'!$L$13, 'Auto Responses'!$J$5,IF(AND($D96='Auto Responses'!$J$27,$H96=""),'Auto Responses'!$J$5,IF(AND($D96='Auto Responses'!$J$27,$H96='Auto Responses'!$J$7),1,IF(AND($D96='Auto Responses'!$J$27,$H96='Auto Responses'!$J$8),0,IF(OR(AND($F96=$G96,$H96=""),$H96='Auto Responses'!$J$7),1,0)))))</f>
        <v>1</v>
      </c>
      <c r="M96" s="4" t="str">
        <f>VLOOKUP($A96,'Institution Evaluation'!$A$56:$K$345,11,0)&amp;""</f>
        <v>FALSE</v>
      </c>
      <c r="N96" s="4">
        <f>IF($J96='Auto Responses'!$J$11,1,IF(AND($J96="",$I96='Auto Responses'!$J$11),1,0))</f>
        <v>1</v>
      </c>
      <c r="O96" s="105">
        <f>IF(OR($E96='Auto Responses'!$L$13,$F96='Auto Responses'!$J$5),'Auto Responses'!$J$5,IF($J96="",$K96,IF($J96='Auto Responses'!$J$13,5,IF($J96='Auto Responses'!$J$12,10,IF($J96='Auto Responses'!$J$11,20,0)))))</f>
        <v>20</v>
      </c>
      <c r="P96" s="105">
        <f>IF(OR($O96='Auto Responses'!$J$5,$L96='Auto Responses'!$J$5),'Auto Responses'!$J$5,$O96*$L96)</f>
        <v>20</v>
      </c>
      <c r="Q96" s="105">
        <f t="shared" si="7"/>
        <v>0</v>
      </c>
      <c r="R96" s="105">
        <f t="shared" si="12"/>
        <v>0</v>
      </c>
      <c r="S96" s="105">
        <f t="shared" si="8"/>
        <v>0</v>
      </c>
      <c r="T96" s="105">
        <f t="shared" si="9"/>
        <v>1</v>
      </c>
      <c r="U96" s="105">
        <f t="shared" si="13"/>
        <v>32</v>
      </c>
      <c r="V96" s="105">
        <f t="shared" si="10"/>
        <v>32</v>
      </c>
    </row>
    <row r="97" spans="1:22" ht="56" x14ac:dyDescent="0.3">
      <c r="A97" s="4" t="str">
        <f>Questions!$A97</f>
        <v>CHNG-02</v>
      </c>
      <c r="B97" s="4" t="str">
        <f t="shared" si="11"/>
        <v>CHNG</v>
      </c>
      <c r="C97" s="4" t="str">
        <f>VLOOKUP($A97,Questions!$A$3:$L$333,2,0)&amp;""</f>
        <v>Does the system support client customizations from one release to another?*</v>
      </c>
      <c r="D97" s="4" t="str">
        <f>VLOOKUP($A97,Questions!$A$3:$L$333,11,0)&amp;""</f>
        <v/>
      </c>
      <c r="E97" s="4" t="str">
        <f>VLOOKUP($A97,Questions!$A$3:$L$333,12,0)&amp;""</f>
        <v>Organization</v>
      </c>
      <c r="F97" s="4" t="str">
        <f>VLOOKUP($A97,'Institution Evaluation'!$A$56:$K$345,3,0)&amp;""</f>
        <v>Yes</v>
      </c>
      <c r="G97" s="4" t="str">
        <f>VLOOKUP($A97,'Institution Evaluation'!$A$56:$K$345,7,0)&amp;""</f>
        <v>Yes</v>
      </c>
      <c r="H97" s="4" t="str">
        <f>VLOOKUP($A97,'Institution Evaluation'!$A$56:$K$345,8,0)&amp;""</f>
        <v/>
      </c>
      <c r="I97" s="4" t="str">
        <f>VLOOKUP($A97,'Institution Evaluation'!$A$56:$K$345,9,0)&amp;""</f>
        <v>Critical Importance</v>
      </c>
      <c r="J97" s="4" t="str">
        <f>VLOOKUP($A97,'Institution Evaluation'!$A$56:$K$345,10,0)&amp;""</f>
        <v/>
      </c>
      <c r="K97" s="4">
        <f>IF($I97='Auto Responses'!$J$11,20,IF($I97='Auto Responses'!$J$13,5,10))</f>
        <v>20</v>
      </c>
      <c r="L97" s="105">
        <f>IF($E97='Auto Responses'!$L$13, 'Auto Responses'!$J$5,IF(AND($D97='Auto Responses'!$J$27,$H97=""),'Auto Responses'!$J$5,IF(AND($D97='Auto Responses'!$J$27,$H97='Auto Responses'!$J$7),1,IF(AND($D97='Auto Responses'!$J$27,$H97='Auto Responses'!$J$8),0,IF(OR(AND($F97=$G97,$H97=""),$H97='Auto Responses'!$J$7),1,0)))))</f>
        <v>1</v>
      </c>
      <c r="M97" s="4" t="str">
        <f>VLOOKUP($A97,'Institution Evaluation'!$A$56:$K$345,11,0)&amp;""</f>
        <v>FALSE</v>
      </c>
      <c r="N97" s="4">
        <f>IF($J97='Auto Responses'!$J$11,1,IF(AND($J97="",$I97='Auto Responses'!$J$11),1,0))</f>
        <v>1</v>
      </c>
      <c r="O97" s="105">
        <f>IF(OR($E97='Auto Responses'!$L$13,$F97='Auto Responses'!$J$5),'Auto Responses'!$J$5,IF($J97="",$K97,IF($J97='Auto Responses'!$J$13,5,IF($J97='Auto Responses'!$J$12,10,IF($J97='Auto Responses'!$J$11,20,0)))))</f>
        <v>20</v>
      </c>
      <c r="P97" s="105">
        <f>IF(OR($O97='Auto Responses'!$J$5,$L97='Auto Responses'!$J$5),'Auto Responses'!$J$5,$O97*$L97)</f>
        <v>20</v>
      </c>
      <c r="Q97" s="105">
        <f t="shared" si="7"/>
        <v>0</v>
      </c>
      <c r="R97" s="105">
        <f t="shared" si="12"/>
        <v>0</v>
      </c>
      <c r="S97" s="105">
        <f t="shared" si="8"/>
        <v>0</v>
      </c>
      <c r="T97" s="105">
        <f t="shared" si="9"/>
        <v>1</v>
      </c>
      <c r="U97" s="105">
        <f t="shared" si="13"/>
        <v>33</v>
      </c>
      <c r="V97" s="105">
        <f t="shared" si="10"/>
        <v>33</v>
      </c>
    </row>
    <row r="98" spans="1:22" ht="56" x14ac:dyDescent="0.3">
      <c r="A98" s="4" t="str">
        <f>Questions!$A98</f>
        <v>CHNG-03</v>
      </c>
      <c r="B98" s="4" t="str">
        <f t="shared" si="11"/>
        <v>CHNG</v>
      </c>
      <c r="C98" s="4" t="str">
        <f>VLOOKUP($A98,Questions!$A$3:$L$333,2,0)&amp;""</f>
        <v>Do you have an implemented system configuration management process (e.g., secure "gold" images, etc.)?*</v>
      </c>
      <c r="D98" s="4" t="str">
        <f>VLOOKUP($A98,Questions!$A$3:$L$333,11,0)&amp;""</f>
        <v/>
      </c>
      <c r="E98" s="4" t="str">
        <f>VLOOKUP($A98,Questions!$A$3:$L$333,12,0)&amp;""</f>
        <v>Organization</v>
      </c>
      <c r="F98" s="4" t="str">
        <f>VLOOKUP($A98,'Institution Evaluation'!$A$56:$K$345,3,0)&amp;""</f>
        <v>Yes</v>
      </c>
      <c r="G98" s="4" t="str">
        <f>VLOOKUP($A98,'Institution Evaluation'!$A$56:$K$345,7,0)&amp;""</f>
        <v>Yes</v>
      </c>
      <c r="H98" s="4" t="str">
        <f>VLOOKUP($A98,'Institution Evaluation'!$A$56:$K$345,8,0)&amp;""</f>
        <v/>
      </c>
      <c r="I98" s="4" t="str">
        <f>VLOOKUP($A98,'Institution Evaluation'!$A$56:$K$345,9,0)&amp;""</f>
        <v>Critical Importance</v>
      </c>
      <c r="J98" s="4" t="str">
        <f>VLOOKUP($A98,'Institution Evaluation'!$A$56:$K$345,10,0)&amp;""</f>
        <v/>
      </c>
      <c r="K98" s="4">
        <f>IF($I98='Auto Responses'!$J$11,20,IF($I98='Auto Responses'!$J$13,5,10))</f>
        <v>20</v>
      </c>
      <c r="L98" s="105">
        <f>IF($E98='Auto Responses'!$L$13, 'Auto Responses'!$J$5,IF(AND($D98='Auto Responses'!$J$27,$H98=""),'Auto Responses'!$J$5,IF(AND($D98='Auto Responses'!$J$27,$H98='Auto Responses'!$J$7),1,IF(AND($D98='Auto Responses'!$J$27,$H98='Auto Responses'!$J$8),0,IF(OR(AND($F98=$G98,$H98=""),$H98='Auto Responses'!$J$7),1,0)))))</f>
        <v>1</v>
      </c>
      <c r="M98" s="4" t="str">
        <f>VLOOKUP($A98,'Institution Evaluation'!$A$56:$K$345,11,0)&amp;""</f>
        <v>FALSE</v>
      </c>
      <c r="N98" s="4">
        <f>IF($J98='Auto Responses'!$J$11,1,IF(AND($J98="",$I98='Auto Responses'!$J$11),1,0))</f>
        <v>1</v>
      </c>
      <c r="O98" s="105">
        <f>IF(OR($E98='Auto Responses'!$L$13,$F98='Auto Responses'!$J$5),'Auto Responses'!$J$5,IF($J98="",$K98,IF($J98='Auto Responses'!$J$13,5,IF($J98='Auto Responses'!$J$12,10,IF($J98='Auto Responses'!$J$11,20,0)))))</f>
        <v>20</v>
      </c>
      <c r="P98" s="105">
        <f>IF(OR($O98='Auto Responses'!$J$5,$L98='Auto Responses'!$J$5),'Auto Responses'!$J$5,$O98*$L98)</f>
        <v>20</v>
      </c>
      <c r="Q98" s="105">
        <f t="shared" si="7"/>
        <v>0</v>
      </c>
      <c r="R98" s="105">
        <f t="shared" si="12"/>
        <v>0</v>
      </c>
      <c r="S98" s="105">
        <f t="shared" si="8"/>
        <v>0</v>
      </c>
      <c r="T98" s="105">
        <f t="shared" si="9"/>
        <v>1</v>
      </c>
      <c r="U98" s="105">
        <f t="shared" si="13"/>
        <v>34</v>
      </c>
      <c r="V98" s="105">
        <f t="shared" si="10"/>
        <v>34</v>
      </c>
    </row>
    <row r="99" spans="1:22" ht="56" x14ac:dyDescent="0.3">
      <c r="A99" s="4" t="str">
        <f>Questions!$A99</f>
        <v>CHNG-04</v>
      </c>
      <c r="B99" s="4" t="str">
        <f t="shared" si="11"/>
        <v>CHNG</v>
      </c>
      <c r="C99" s="4" t="str">
        <f>VLOOKUP($A99,Questions!$A$3:$L$333,2,0)&amp;""</f>
        <v>Do you have a documented change management process?</v>
      </c>
      <c r="D99" s="4" t="str">
        <f>VLOOKUP($A99,Questions!$A$3:$L$333,11,0)&amp;""</f>
        <v/>
      </c>
      <c r="E99" s="4" t="str">
        <f>VLOOKUP($A99,Questions!$A$3:$L$333,12,0)&amp;""</f>
        <v>Organization</v>
      </c>
      <c r="F99" s="4" t="str">
        <f>VLOOKUP($A99,'Institution Evaluation'!$A$56:$K$345,3,0)&amp;""</f>
        <v>Yes</v>
      </c>
      <c r="G99" s="4" t="str">
        <f>VLOOKUP($A99,'Institution Evaluation'!$A$56:$K$345,7,0)&amp;""</f>
        <v>Yes</v>
      </c>
      <c r="H99" s="4" t="str">
        <f>VLOOKUP($A99,'Institution Evaluation'!$A$56:$K$345,8,0)&amp;""</f>
        <v/>
      </c>
      <c r="I99" s="4" t="str">
        <f>VLOOKUP($A99,'Institution Evaluation'!$A$56:$K$345,9,0)&amp;""</f>
        <v>Standard Importance</v>
      </c>
      <c r="J99" s="4" t="str">
        <f>VLOOKUP($A99,'Institution Evaluation'!$A$56:$K$345,10,0)&amp;""</f>
        <v/>
      </c>
      <c r="K99" s="4">
        <f>IF($I99='Auto Responses'!$J$11,20,IF($I99='Auto Responses'!$J$13,5,10))</f>
        <v>10</v>
      </c>
      <c r="L99" s="105">
        <f>IF($E99='Auto Responses'!$L$13, 'Auto Responses'!$J$5,IF(AND($D99='Auto Responses'!$J$27,$H99=""),'Auto Responses'!$J$5,IF(AND($D99='Auto Responses'!$J$27,$H99='Auto Responses'!$J$7),1,IF(AND($D99='Auto Responses'!$J$27,$H99='Auto Responses'!$J$8),0,IF(OR(AND($F99=$G99,$H99=""),$H99='Auto Responses'!$J$7),1,0)))))</f>
        <v>1</v>
      </c>
      <c r="M99" s="4" t="str">
        <f>VLOOKUP($A99,'Institution Evaluation'!$A$56:$K$345,11,0)&amp;""</f>
        <v>FALSE</v>
      </c>
      <c r="N99" s="4">
        <f>IF($J99='Auto Responses'!$J$11,1,IF(AND($J99="",$I99='Auto Responses'!$J$11),1,0))</f>
        <v>0</v>
      </c>
      <c r="O99" s="105">
        <f>IF(OR($E99='Auto Responses'!$L$13,$F99='Auto Responses'!$J$5),'Auto Responses'!$J$5,IF($J99="",$K99,IF($J99='Auto Responses'!$J$13,5,IF($J99='Auto Responses'!$J$12,10,IF($J99='Auto Responses'!$J$11,20,0)))))</f>
        <v>10</v>
      </c>
      <c r="P99" s="105">
        <f>IF(OR($O99='Auto Responses'!$J$5,$L99='Auto Responses'!$J$5),'Auto Responses'!$J$5,$O99*$L99)</f>
        <v>10</v>
      </c>
      <c r="Q99" s="105">
        <f t="shared" si="7"/>
        <v>0</v>
      </c>
      <c r="R99" s="105">
        <f t="shared" si="12"/>
        <v>0</v>
      </c>
      <c r="S99" s="105">
        <f t="shared" si="8"/>
        <v>0</v>
      </c>
      <c r="T99" s="105">
        <f t="shared" si="9"/>
        <v>0</v>
      </c>
      <c r="U99" s="105">
        <f t="shared" si="13"/>
        <v>34</v>
      </c>
      <c r="V99" s="105">
        <f t="shared" si="10"/>
        <v>0</v>
      </c>
    </row>
    <row r="100" spans="1:22" ht="56" x14ac:dyDescent="0.3">
      <c r="A100" s="4" t="str">
        <f>Questions!$A100</f>
        <v>CHNG-05</v>
      </c>
      <c r="B100" s="4" t="str">
        <f t="shared" si="11"/>
        <v>CHNG</v>
      </c>
      <c r="C100" s="4" t="str">
        <f>VLOOKUP($A100,Questions!$A$3:$L$333,2,0)&amp;""</f>
        <v>Does your change management process minimally include authorization, impact analysis, testing, and validation before moving changes to production?</v>
      </c>
      <c r="D100" s="4" t="str">
        <f>VLOOKUP($A100,Questions!$A$3:$L$333,11,0)&amp;""</f>
        <v/>
      </c>
      <c r="E100" s="4" t="str">
        <f>VLOOKUP($A100,Questions!$A$3:$L$333,12,0)&amp;""</f>
        <v>Organization</v>
      </c>
      <c r="F100" s="4" t="str">
        <f>VLOOKUP($A100,'Institution Evaluation'!$A$56:$K$345,3,0)&amp;""</f>
        <v>Yes</v>
      </c>
      <c r="G100" s="4" t="str">
        <f>VLOOKUP($A100,'Institution Evaluation'!$A$56:$K$345,7,0)&amp;""</f>
        <v>Yes</v>
      </c>
      <c r="H100" s="4" t="str">
        <f>VLOOKUP($A100,'Institution Evaluation'!$A$56:$K$345,8,0)&amp;""</f>
        <v/>
      </c>
      <c r="I100" s="4" t="str">
        <f>VLOOKUP($A100,'Institution Evaluation'!$A$56:$K$345,9,0)&amp;""</f>
        <v>Standard Importance</v>
      </c>
      <c r="J100" s="4" t="str">
        <f>VLOOKUP($A100,'Institution Evaluation'!$A$56:$K$345,10,0)&amp;""</f>
        <v/>
      </c>
      <c r="K100" s="4">
        <f>IF($I100='Auto Responses'!$J$11,20,IF($I100='Auto Responses'!$J$13,5,10))</f>
        <v>10</v>
      </c>
      <c r="L100" s="105">
        <f>IF($E100='Auto Responses'!$L$13, 'Auto Responses'!$J$5,IF(AND($D100='Auto Responses'!$J$27,$H100=""),'Auto Responses'!$J$5,IF(AND($D100='Auto Responses'!$J$27,$H100='Auto Responses'!$J$7),1,IF(AND($D100='Auto Responses'!$J$27,$H100='Auto Responses'!$J$8),0,IF(OR(AND($F100=$G100,$H100=""),$H100='Auto Responses'!$J$7),1,0)))))</f>
        <v>1</v>
      </c>
      <c r="M100" s="4" t="str">
        <f>VLOOKUP($A100,'Institution Evaluation'!$A$56:$K$345,11,0)&amp;""</f>
        <v>FALSE</v>
      </c>
      <c r="N100" s="4">
        <f>IF($J100='Auto Responses'!$J$11,1,IF(AND($J100="",$I100='Auto Responses'!$J$11),1,0))</f>
        <v>0</v>
      </c>
      <c r="O100" s="105">
        <f>IF(OR($E100='Auto Responses'!$L$13,$F100='Auto Responses'!$J$5),'Auto Responses'!$J$5,IF($J100="",$K100,IF($J100='Auto Responses'!$J$13,5,IF($J100='Auto Responses'!$J$12,10,IF($J100='Auto Responses'!$J$11,20,0)))))</f>
        <v>10</v>
      </c>
      <c r="P100" s="105">
        <f>IF(OR($O100='Auto Responses'!$J$5,$L100='Auto Responses'!$J$5),'Auto Responses'!$J$5,$O100*$L100)</f>
        <v>10</v>
      </c>
      <c r="Q100" s="105">
        <f t="shared" si="7"/>
        <v>0</v>
      </c>
      <c r="R100" s="105">
        <f t="shared" si="12"/>
        <v>0</v>
      </c>
      <c r="S100" s="105">
        <f t="shared" si="8"/>
        <v>0</v>
      </c>
      <c r="T100" s="105">
        <f t="shared" si="9"/>
        <v>0</v>
      </c>
      <c r="U100" s="105">
        <f t="shared" si="13"/>
        <v>34</v>
      </c>
      <c r="V100" s="105">
        <f t="shared" si="10"/>
        <v>0</v>
      </c>
    </row>
    <row r="101" spans="1:22" ht="56" x14ac:dyDescent="0.3">
      <c r="A101" s="4" t="str">
        <f>Questions!$A101</f>
        <v>CHNG-06</v>
      </c>
      <c r="B101" s="4" t="str">
        <f t="shared" si="11"/>
        <v>CHNG</v>
      </c>
      <c r="C101" s="4" t="str">
        <f>VLOOKUP($A101,Questions!$A$3:$L$333,2,0)&amp;""</f>
        <v>Does your change management process verify that all required third-party libraries and dependencies are still supported with each major change?</v>
      </c>
      <c r="D101" s="4" t="str">
        <f>VLOOKUP($A101,Questions!$A$3:$L$333,11,0)&amp;""</f>
        <v/>
      </c>
      <c r="E101" s="4" t="str">
        <f>VLOOKUP($A101,Questions!$A$3:$L$333,12,0)&amp;""</f>
        <v>Organization</v>
      </c>
      <c r="F101" s="4" t="str">
        <f>VLOOKUP($A101,'Institution Evaluation'!$A$56:$K$345,3,0)&amp;""</f>
        <v>Yes</v>
      </c>
      <c r="G101" s="4" t="str">
        <f>VLOOKUP($A101,'Institution Evaluation'!$A$56:$K$345,7,0)&amp;""</f>
        <v>Yes</v>
      </c>
      <c r="H101" s="4" t="str">
        <f>VLOOKUP($A101,'Institution Evaluation'!$A$56:$K$345,8,0)&amp;""</f>
        <v/>
      </c>
      <c r="I101" s="4" t="str">
        <f>VLOOKUP($A101,'Institution Evaluation'!$A$56:$K$345,9,0)&amp;""</f>
        <v>Standard Importance</v>
      </c>
      <c r="J101" s="4" t="str">
        <f>VLOOKUP($A101,'Institution Evaluation'!$A$56:$K$345,10,0)&amp;""</f>
        <v/>
      </c>
      <c r="K101" s="4">
        <f>IF($I101='Auto Responses'!$J$11,20,IF($I101='Auto Responses'!$J$13,5,10))</f>
        <v>10</v>
      </c>
      <c r="L101" s="105">
        <f>IF($E101='Auto Responses'!$L$13, 'Auto Responses'!$J$5,IF(AND($D101='Auto Responses'!$J$27,$H101=""),'Auto Responses'!$J$5,IF(AND($D101='Auto Responses'!$J$27,$H101='Auto Responses'!$J$7),1,IF(AND($D101='Auto Responses'!$J$27,$H101='Auto Responses'!$J$8),0,IF(OR(AND($F101=$G101,$H101=""),$H101='Auto Responses'!$J$7),1,0)))))</f>
        <v>1</v>
      </c>
      <c r="M101" s="4" t="str">
        <f>VLOOKUP($A101,'Institution Evaluation'!$A$56:$K$345,11,0)&amp;""</f>
        <v>FALSE</v>
      </c>
      <c r="N101" s="4">
        <f>IF($J101='Auto Responses'!$J$11,1,IF(AND($J101="",$I101='Auto Responses'!$J$11),1,0))</f>
        <v>0</v>
      </c>
      <c r="O101" s="105">
        <f>IF(OR($E101='Auto Responses'!$L$13,$F101='Auto Responses'!$J$5),'Auto Responses'!$J$5,IF($J101="",$K101,IF($J101='Auto Responses'!$J$13,5,IF($J101='Auto Responses'!$J$12,10,IF($J101='Auto Responses'!$J$11,20,0)))))</f>
        <v>10</v>
      </c>
      <c r="P101" s="105">
        <f>IF(OR($O101='Auto Responses'!$J$5,$L101='Auto Responses'!$J$5),'Auto Responses'!$J$5,$O101*$L101)</f>
        <v>10</v>
      </c>
      <c r="Q101" s="105">
        <f t="shared" si="7"/>
        <v>0</v>
      </c>
      <c r="R101" s="105">
        <f t="shared" si="12"/>
        <v>0</v>
      </c>
      <c r="S101" s="105">
        <f t="shared" si="8"/>
        <v>0</v>
      </c>
      <c r="T101" s="105">
        <f t="shared" si="9"/>
        <v>0</v>
      </c>
      <c r="U101" s="105">
        <f t="shared" si="13"/>
        <v>34</v>
      </c>
      <c r="V101" s="105">
        <f t="shared" si="10"/>
        <v>0</v>
      </c>
    </row>
    <row r="102" spans="1:22" ht="56" x14ac:dyDescent="0.3">
      <c r="A102" s="4" t="str">
        <f>Questions!$A102</f>
        <v>CHNG-07</v>
      </c>
      <c r="B102" s="4" t="str">
        <f t="shared" si="11"/>
        <v>CHNG</v>
      </c>
      <c r="C102" s="4" t="str">
        <f>VLOOKUP($A102,Questions!$A$3:$L$333,2,0)&amp;""</f>
        <v>Do you have policy and procedure, currently implemented, managing how critical patches are applied to all systems and applications?</v>
      </c>
      <c r="D102" s="4" t="str">
        <f>VLOOKUP($A102,Questions!$A$3:$L$333,11,0)&amp;""</f>
        <v/>
      </c>
      <c r="E102" s="4" t="str">
        <f>VLOOKUP($A102,Questions!$A$3:$L$333,12,0)&amp;""</f>
        <v>Organization</v>
      </c>
      <c r="F102" s="4" t="str">
        <f>VLOOKUP($A102,'Institution Evaluation'!$A$56:$K$345,3,0)&amp;""</f>
        <v>Yes</v>
      </c>
      <c r="G102" s="4" t="str">
        <f>VLOOKUP($A102,'Institution Evaluation'!$A$56:$K$345,7,0)&amp;""</f>
        <v>Yes</v>
      </c>
      <c r="H102" s="4" t="str">
        <f>VLOOKUP($A102,'Institution Evaluation'!$A$56:$K$345,8,0)&amp;""</f>
        <v/>
      </c>
      <c r="I102" s="4" t="str">
        <f>VLOOKUP($A102,'Institution Evaluation'!$A$56:$K$345,9,0)&amp;""</f>
        <v>Standard Importance</v>
      </c>
      <c r="J102" s="4" t="str">
        <f>VLOOKUP($A102,'Institution Evaluation'!$A$56:$K$345,10,0)&amp;""</f>
        <v/>
      </c>
      <c r="K102" s="4">
        <f>IF($I102='Auto Responses'!$J$11,20,IF($I102='Auto Responses'!$J$13,5,10))</f>
        <v>10</v>
      </c>
      <c r="L102" s="105">
        <f>IF($E102='Auto Responses'!$L$13, 'Auto Responses'!$J$5,IF(AND($D102='Auto Responses'!$J$27,$H102=""),'Auto Responses'!$J$5,IF(AND($D102='Auto Responses'!$J$27,$H102='Auto Responses'!$J$7),1,IF(AND($D102='Auto Responses'!$J$27,$H102='Auto Responses'!$J$8),0,IF(OR(AND($F102=$G102,$H102=""),$H102='Auto Responses'!$J$7),1,0)))))</f>
        <v>1</v>
      </c>
      <c r="M102" s="4" t="str">
        <f>VLOOKUP($A102,'Institution Evaluation'!$A$56:$K$345,11,0)&amp;""</f>
        <v>FALSE</v>
      </c>
      <c r="N102" s="4">
        <f>IF($J102='Auto Responses'!$J$11,1,IF(AND($J102="",$I102='Auto Responses'!$J$11),1,0))</f>
        <v>0</v>
      </c>
      <c r="O102" s="105">
        <f>IF(OR($E102='Auto Responses'!$L$13,$F102='Auto Responses'!$J$5),'Auto Responses'!$J$5,IF($J102="",$K102,IF($J102='Auto Responses'!$J$13,5,IF($J102='Auto Responses'!$J$12,10,IF($J102='Auto Responses'!$J$11,20,0)))))</f>
        <v>10</v>
      </c>
      <c r="P102" s="105">
        <f>IF(OR($O102='Auto Responses'!$J$5,$L102='Auto Responses'!$J$5),'Auto Responses'!$J$5,$O102*$L102)</f>
        <v>10</v>
      </c>
      <c r="Q102" s="105">
        <f t="shared" si="7"/>
        <v>0</v>
      </c>
      <c r="R102" s="105">
        <f t="shared" si="12"/>
        <v>0</v>
      </c>
      <c r="S102" s="105">
        <f t="shared" si="8"/>
        <v>0</v>
      </c>
      <c r="T102" s="105">
        <f t="shared" si="9"/>
        <v>0</v>
      </c>
      <c r="U102" s="105">
        <f t="shared" si="13"/>
        <v>34</v>
      </c>
      <c r="V102" s="105">
        <f t="shared" si="10"/>
        <v>0</v>
      </c>
    </row>
    <row r="103" spans="1:22" ht="56" x14ac:dyDescent="0.3">
      <c r="A103" s="4" t="str">
        <f>Questions!$A103</f>
        <v>CHNG-08</v>
      </c>
      <c r="B103" s="4" t="str">
        <f t="shared" si="11"/>
        <v>CHNG</v>
      </c>
      <c r="C103" s="4" t="str">
        <f>VLOOKUP($A103,Questions!$A$3:$L$333,2,0)&amp;""</f>
        <v>Have you implemented policies and procedures that guide how security risks are mitigated until patches can be applied?</v>
      </c>
      <c r="D103" s="4" t="str">
        <f>VLOOKUP($A103,Questions!$A$3:$L$333,11,0)&amp;""</f>
        <v/>
      </c>
      <c r="E103" s="4" t="str">
        <f>VLOOKUP($A103,Questions!$A$3:$L$333,12,0)&amp;""</f>
        <v>Organization</v>
      </c>
      <c r="F103" s="4" t="str">
        <f>VLOOKUP($A103,'Institution Evaluation'!$A$56:$K$345,3,0)&amp;""</f>
        <v>Yes</v>
      </c>
      <c r="G103" s="4" t="str">
        <f>VLOOKUP($A103,'Institution Evaluation'!$A$56:$K$345,7,0)&amp;""</f>
        <v>Yes</v>
      </c>
      <c r="H103" s="4" t="str">
        <f>VLOOKUP($A103,'Institution Evaluation'!$A$56:$K$345,8,0)&amp;""</f>
        <v/>
      </c>
      <c r="I103" s="4" t="str">
        <f>VLOOKUP($A103,'Institution Evaluation'!$A$56:$K$345,9,0)&amp;""</f>
        <v>Standard Importance</v>
      </c>
      <c r="J103" s="4" t="str">
        <f>VLOOKUP($A103,'Institution Evaluation'!$A$56:$K$345,10,0)&amp;""</f>
        <v/>
      </c>
      <c r="K103" s="4">
        <f>IF($I103='Auto Responses'!$J$11,20,IF($I103='Auto Responses'!$J$13,5,10))</f>
        <v>10</v>
      </c>
      <c r="L103" s="105">
        <f>IF($E103='Auto Responses'!$L$13, 'Auto Responses'!$J$5,IF(AND($D103='Auto Responses'!$J$27,$H103=""),'Auto Responses'!$J$5,IF(AND($D103='Auto Responses'!$J$27,$H103='Auto Responses'!$J$7),1,IF(AND($D103='Auto Responses'!$J$27,$H103='Auto Responses'!$J$8),0,IF(OR(AND($F103=$G103,$H103=""),$H103='Auto Responses'!$J$7),1,0)))))</f>
        <v>1</v>
      </c>
      <c r="M103" s="4" t="str">
        <f>VLOOKUP($A103,'Institution Evaluation'!$A$56:$K$345,11,0)&amp;""</f>
        <v>FALSE</v>
      </c>
      <c r="N103" s="4">
        <f>IF($J103='Auto Responses'!$J$11,1,IF(AND($J103="",$I103='Auto Responses'!$J$11),1,0))</f>
        <v>0</v>
      </c>
      <c r="O103" s="105">
        <f>IF(OR($E103='Auto Responses'!$L$13,$F103='Auto Responses'!$J$5),'Auto Responses'!$J$5,IF($J103="",$K103,IF($J103='Auto Responses'!$J$13,5,IF($J103='Auto Responses'!$J$12,10,IF($J103='Auto Responses'!$J$11,20,0)))))</f>
        <v>10</v>
      </c>
      <c r="P103" s="105">
        <f>IF(OR($O103='Auto Responses'!$J$5,$L103='Auto Responses'!$J$5),'Auto Responses'!$J$5,$O103*$L103)</f>
        <v>10</v>
      </c>
      <c r="Q103" s="105">
        <f t="shared" si="7"/>
        <v>0</v>
      </c>
      <c r="R103" s="105">
        <f t="shared" si="12"/>
        <v>0</v>
      </c>
      <c r="S103" s="105">
        <f t="shared" si="8"/>
        <v>0</v>
      </c>
      <c r="T103" s="105">
        <f t="shared" si="9"/>
        <v>0</v>
      </c>
      <c r="U103" s="105">
        <f t="shared" si="13"/>
        <v>34</v>
      </c>
      <c r="V103" s="105">
        <f t="shared" si="10"/>
        <v>0</v>
      </c>
    </row>
    <row r="104" spans="1:22" ht="56" x14ac:dyDescent="0.3">
      <c r="A104" s="4" t="str">
        <f>Questions!$A104</f>
        <v>CHNG-09</v>
      </c>
      <c r="B104" s="4" t="str">
        <f t="shared" si="11"/>
        <v>CHNG</v>
      </c>
      <c r="C104" s="4" t="str">
        <f>VLOOKUP($A104,Questions!$A$3:$L$333,2,0)&amp;""</f>
        <v>Do clients have the option to not participate in or postpone an upgrade to a new release?</v>
      </c>
      <c r="D104" s="4" t="str">
        <f>VLOOKUP($A104,Questions!$A$3:$L$333,11,0)&amp;""</f>
        <v/>
      </c>
      <c r="E104" s="4" t="str">
        <f>VLOOKUP($A104,Questions!$A$3:$L$333,12,0)&amp;""</f>
        <v>Organization</v>
      </c>
      <c r="F104" s="4" t="str">
        <f>VLOOKUP($A104,'Institution Evaluation'!$A$56:$K$345,3,0)&amp;""</f>
        <v>No</v>
      </c>
      <c r="G104" s="4" t="str">
        <f>VLOOKUP($A104,'Institution Evaluation'!$A$56:$K$345,7,0)&amp;""</f>
        <v>Yes</v>
      </c>
      <c r="H104" s="4" t="str">
        <f>VLOOKUP($A104,'Institution Evaluation'!$A$56:$K$345,8,0)&amp;""</f>
        <v/>
      </c>
      <c r="I104" s="4" t="str">
        <f>VLOOKUP($A104,'Institution Evaluation'!$A$56:$K$345,9,0)&amp;""</f>
        <v>Minor Importance</v>
      </c>
      <c r="J104" s="4" t="str">
        <f>VLOOKUP($A104,'Institution Evaluation'!$A$56:$K$345,10,0)&amp;""</f>
        <v/>
      </c>
      <c r="K104" s="4">
        <f>IF($I104='Auto Responses'!$J$11,20,IF($I104='Auto Responses'!$J$13,5,10))</f>
        <v>5</v>
      </c>
      <c r="L104" s="105">
        <f>IF($E104='Auto Responses'!$L$13, 'Auto Responses'!$J$5,IF(AND($D104='Auto Responses'!$J$27,$H104=""),'Auto Responses'!$J$5,IF(AND($D104='Auto Responses'!$J$27,$H104='Auto Responses'!$J$7),1,IF(AND($D104='Auto Responses'!$J$27,$H104='Auto Responses'!$J$8),0,IF(OR(AND($F104=$G104,$H104=""),$H104='Auto Responses'!$J$7),1,0)))))</f>
        <v>0</v>
      </c>
      <c r="M104" s="4" t="str">
        <f>VLOOKUP($A104,'Institution Evaluation'!$A$56:$K$345,11,0)&amp;""</f>
        <v>FALSE</v>
      </c>
      <c r="N104" s="4">
        <f>IF($J104='Auto Responses'!$J$11,1,IF(AND($J104="",$I104='Auto Responses'!$J$11),1,0))</f>
        <v>0</v>
      </c>
      <c r="O104" s="105">
        <f>IF(OR($E104='Auto Responses'!$L$13,$F104='Auto Responses'!$J$5),'Auto Responses'!$J$5,IF($J104="",$K104,IF($J104='Auto Responses'!$J$13,5,IF($J104='Auto Responses'!$J$12,10,IF($J104='Auto Responses'!$J$11,20,0)))))</f>
        <v>5</v>
      </c>
      <c r="P104" s="105">
        <f>IF(OR($O104='Auto Responses'!$J$5,$L104='Auto Responses'!$J$5),'Auto Responses'!$J$5,$O104*$L104)</f>
        <v>0</v>
      </c>
      <c r="Q104" s="105">
        <f t="shared" si="7"/>
        <v>0</v>
      </c>
      <c r="R104" s="105">
        <f t="shared" si="12"/>
        <v>0</v>
      </c>
      <c r="S104" s="105">
        <f t="shared" si="8"/>
        <v>0</v>
      </c>
      <c r="T104" s="105">
        <f t="shared" si="9"/>
        <v>0</v>
      </c>
      <c r="U104" s="105">
        <f t="shared" si="13"/>
        <v>34</v>
      </c>
      <c r="V104" s="105">
        <f t="shared" si="10"/>
        <v>0</v>
      </c>
    </row>
    <row r="105" spans="1:22" ht="56" x14ac:dyDescent="0.3">
      <c r="A105" s="4" t="str">
        <f>Questions!$A105</f>
        <v>CHNG-10</v>
      </c>
      <c r="B105" s="4" t="str">
        <f t="shared" si="11"/>
        <v>CHNG</v>
      </c>
      <c r="C105" s="4" t="str">
        <f>VLOOKUP($A105,Questions!$A$3:$L$333,2,0)&amp;""</f>
        <v>Do you have a fully implemented solution support strategy that defines how many concurrent versions you support?</v>
      </c>
      <c r="D105" s="4" t="str">
        <f>VLOOKUP($A105,Questions!$A$3:$L$333,11,0)&amp;""</f>
        <v/>
      </c>
      <c r="E105" s="4" t="str">
        <f>VLOOKUP($A105,Questions!$A$3:$L$333,12,0)&amp;""</f>
        <v>Organization</v>
      </c>
      <c r="F105" s="4" t="str">
        <f>VLOOKUP($A105,'Institution Evaluation'!$A$56:$K$345,3,0)&amp;""</f>
        <v>Yes</v>
      </c>
      <c r="G105" s="4" t="str">
        <f>VLOOKUP($A105,'Institution Evaluation'!$A$56:$K$345,7,0)&amp;""</f>
        <v>Yes</v>
      </c>
      <c r="H105" s="4" t="str">
        <f>VLOOKUP($A105,'Institution Evaluation'!$A$56:$K$345,8,0)&amp;""</f>
        <v/>
      </c>
      <c r="I105" s="4" t="str">
        <f>VLOOKUP($A105,'Institution Evaluation'!$A$56:$K$345,9,0)&amp;""</f>
        <v>Minor Importance</v>
      </c>
      <c r="J105" s="4" t="str">
        <f>VLOOKUP($A105,'Institution Evaluation'!$A$56:$K$345,10,0)&amp;""</f>
        <v/>
      </c>
      <c r="K105" s="4">
        <f>IF($I105='Auto Responses'!$J$11,20,IF($I105='Auto Responses'!$J$13,5,10))</f>
        <v>5</v>
      </c>
      <c r="L105" s="105">
        <f>IF($E105='Auto Responses'!$L$13, 'Auto Responses'!$J$5,IF(AND($D105='Auto Responses'!$J$27,$H105=""),'Auto Responses'!$J$5,IF(AND($D105='Auto Responses'!$J$27,$H105='Auto Responses'!$J$7),1,IF(AND($D105='Auto Responses'!$J$27,$H105='Auto Responses'!$J$8),0,IF(OR(AND($F105=$G105,$H105=""),$H105='Auto Responses'!$J$7),1,0)))))</f>
        <v>1</v>
      </c>
      <c r="M105" s="4" t="str">
        <f>VLOOKUP($A105,'Institution Evaluation'!$A$56:$K$345,11,0)&amp;""</f>
        <v>FALSE</v>
      </c>
      <c r="N105" s="4">
        <f>IF($J105='Auto Responses'!$J$11,1,IF(AND($J105="",$I105='Auto Responses'!$J$11),1,0))</f>
        <v>0</v>
      </c>
      <c r="O105" s="105">
        <f>IF(OR($E105='Auto Responses'!$L$13,$F105='Auto Responses'!$J$5),'Auto Responses'!$J$5,IF($J105="",$K105,IF($J105='Auto Responses'!$J$13,5,IF($J105='Auto Responses'!$J$12,10,IF($J105='Auto Responses'!$J$11,20,0)))))</f>
        <v>5</v>
      </c>
      <c r="P105" s="105">
        <f>IF(OR($O105='Auto Responses'!$J$5,$L105='Auto Responses'!$J$5),'Auto Responses'!$J$5,$O105*$L105)</f>
        <v>5</v>
      </c>
      <c r="Q105" s="105">
        <f t="shared" si="7"/>
        <v>0</v>
      </c>
      <c r="R105" s="105">
        <f t="shared" si="12"/>
        <v>0</v>
      </c>
      <c r="S105" s="105">
        <f t="shared" si="8"/>
        <v>0</v>
      </c>
      <c r="T105" s="105">
        <f t="shared" si="9"/>
        <v>0</v>
      </c>
      <c r="U105" s="105">
        <f t="shared" si="13"/>
        <v>34</v>
      </c>
      <c r="V105" s="105">
        <f t="shared" si="10"/>
        <v>0</v>
      </c>
    </row>
    <row r="106" spans="1:22" ht="56" x14ac:dyDescent="0.3">
      <c r="A106" s="4" t="str">
        <f>Questions!$A106</f>
        <v>CHNG-11</v>
      </c>
      <c r="B106" s="4" t="str">
        <f t="shared" si="11"/>
        <v>CHNG</v>
      </c>
      <c r="C106" s="4" t="str">
        <f>VLOOKUP($A106,Questions!$A$3:$L$333,2,0)&amp;""</f>
        <v>Do you have a release schedule for product updates?</v>
      </c>
      <c r="D106" s="4" t="str">
        <f>VLOOKUP($A106,Questions!$A$3:$L$333,11,0)&amp;""</f>
        <v/>
      </c>
      <c r="E106" s="4" t="str">
        <f>VLOOKUP($A106,Questions!$A$3:$L$333,12,0)&amp;""</f>
        <v>Organization</v>
      </c>
      <c r="F106" s="4" t="str">
        <f>VLOOKUP($A106,'Institution Evaluation'!$A$56:$K$345,3,0)&amp;""</f>
        <v>Yes</v>
      </c>
      <c r="G106" s="4" t="str">
        <f>VLOOKUP($A106,'Institution Evaluation'!$A$56:$K$345,7,0)&amp;""</f>
        <v>Yes</v>
      </c>
      <c r="H106" s="4" t="str">
        <f>VLOOKUP($A106,'Institution Evaluation'!$A$56:$K$345,8,0)&amp;""</f>
        <v/>
      </c>
      <c r="I106" s="4" t="str">
        <f>VLOOKUP($A106,'Institution Evaluation'!$A$56:$K$345,9,0)&amp;""</f>
        <v>Minor Importance</v>
      </c>
      <c r="J106" s="4" t="str">
        <f>VLOOKUP($A106,'Institution Evaluation'!$A$56:$K$345,10,0)&amp;""</f>
        <v/>
      </c>
      <c r="K106" s="4">
        <f>IF($I106='Auto Responses'!$J$11,20,IF($I106='Auto Responses'!$J$13,5,10))</f>
        <v>5</v>
      </c>
      <c r="L106" s="105">
        <f>IF($E106='Auto Responses'!$L$13, 'Auto Responses'!$J$5,IF(AND($D106='Auto Responses'!$J$27,$H106=""),'Auto Responses'!$J$5,IF(AND($D106='Auto Responses'!$J$27,$H106='Auto Responses'!$J$7),1,IF(AND($D106='Auto Responses'!$J$27,$H106='Auto Responses'!$J$8),0,IF(OR(AND($F106=$G106,$H106=""),$H106='Auto Responses'!$J$7),1,0)))))</f>
        <v>1</v>
      </c>
      <c r="M106" s="4" t="str">
        <f>VLOOKUP($A106,'Institution Evaluation'!$A$56:$K$345,11,0)&amp;""</f>
        <v>FALSE</v>
      </c>
      <c r="N106" s="4">
        <f>IF($J106='Auto Responses'!$J$11,1,IF(AND($J106="",$I106='Auto Responses'!$J$11),1,0))</f>
        <v>0</v>
      </c>
      <c r="O106" s="105">
        <f>IF(OR($E106='Auto Responses'!$L$13,$F106='Auto Responses'!$J$5),'Auto Responses'!$J$5,IF($J106="",$K106,IF($J106='Auto Responses'!$J$13,5,IF($J106='Auto Responses'!$J$12,10,IF($J106='Auto Responses'!$J$11,20,0)))))</f>
        <v>5</v>
      </c>
      <c r="P106" s="105">
        <f>IF(OR($O106='Auto Responses'!$J$5,$L106='Auto Responses'!$J$5),'Auto Responses'!$J$5,$O106*$L106)</f>
        <v>5</v>
      </c>
      <c r="Q106" s="105">
        <f t="shared" si="7"/>
        <v>0</v>
      </c>
      <c r="R106" s="105">
        <f t="shared" si="12"/>
        <v>0</v>
      </c>
      <c r="S106" s="105">
        <f t="shared" si="8"/>
        <v>0</v>
      </c>
      <c r="T106" s="105">
        <f t="shared" si="9"/>
        <v>0</v>
      </c>
      <c r="U106" s="105">
        <f t="shared" si="13"/>
        <v>34</v>
      </c>
      <c r="V106" s="105">
        <f t="shared" si="10"/>
        <v>0</v>
      </c>
    </row>
    <row r="107" spans="1:22" ht="56" x14ac:dyDescent="0.3">
      <c r="A107" s="4" t="str">
        <f>Questions!$A107</f>
        <v>CHNG-12</v>
      </c>
      <c r="B107" s="4" t="str">
        <f t="shared" si="11"/>
        <v>CHNG</v>
      </c>
      <c r="C107" s="4" t="str">
        <f>VLOOKUP($A107,Questions!$A$3:$L$333,2,0)&amp;""</f>
        <v>Do you have a technology roadmap, for at least the next two years, for enhancements and bug fixes for the solution being assessed?</v>
      </c>
      <c r="D107" s="4" t="str">
        <f>VLOOKUP($A107,Questions!$A$3:$L$333,11,0)&amp;""</f>
        <v/>
      </c>
      <c r="E107" s="4" t="str">
        <f>VLOOKUP($A107,Questions!$A$3:$L$333,12,0)&amp;""</f>
        <v>Organization</v>
      </c>
      <c r="F107" s="4" t="str">
        <f>VLOOKUP($A107,'Institution Evaluation'!$A$56:$K$345,3,0)&amp;""</f>
        <v>Yes</v>
      </c>
      <c r="G107" s="4" t="str">
        <f>VLOOKUP($A107,'Institution Evaluation'!$A$56:$K$345,7,0)&amp;""</f>
        <v>Yes</v>
      </c>
      <c r="H107" s="4" t="str">
        <f>VLOOKUP($A107,'Institution Evaluation'!$A$56:$K$345,8,0)&amp;""</f>
        <v/>
      </c>
      <c r="I107" s="4" t="str">
        <f>VLOOKUP($A107,'Institution Evaluation'!$A$56:$K$345,9,0)&amp;""</f>
        <v>Minor Importance</v>
      </c>
      <c r="J107" s="4" t="str">
        <f>VLOOKUP($A107,'Institution Evaluation'!$A$56:$K$345,10,0)&amp;""</f>
        <v/>
      </c>
      <c r="K107" s="4">
        <f>IF($I107='Auto Responses'!$J$11,20,IF($I107='Auto Responses'!$J$13,5,10))</f>
        <v>5</v>
      </c>
      <c r="L107" s="105">
        <f>IF($E107='Auto Responses'!$L$13, 'Auto Responses'!$J$5,IF(AND($D107='Auto Responses'!$J$27,$H107=""),'Auto Responses'!$J$5,IF(AND($D107='Auto Responses'!$J$27,$H107='Auto Responses'!$J$7),1,IF(AND($D107='Auto Responses'!$J$27,$H107='Auto Responses'!$J$8),0,IF(OR(AND($F107=$G107,$H107=""),$H107='Auto Responses'!$J$7),1,0)))))</f>
        <v>1</v>
      </c>
      <c r="M107" s="4" t="str">
        <f>VLOOKUP($A107,'Institution Evaluation'!$A$56:$K$345,11,0)&amp;""</f>
        <v>FALSE</v>
      </c>
      <c r="N107" s="4">
        <f>IF($J107='Auto Responses'!$J$11,1,IF(AND($J107="",$I107='Auto Responses'!$J$11),1,0))</f>
        <v>0</v>
      </c>
      <c r="O107" s="105">
        <f>IF(OR($E107='Auto Responses'!$L$13,$F107='Auto Responses'!$J$5),'Auto Responses'!$J$5,IF($J107="",$K107,IF($J107='Auto Responses'!$J$13,5,IF($J107='Auto Responses'!$J$12,10,IF($J107='Auto Responses'!$J$11,20,0)))))</f>
        <v>5</v>
      </c>
      <c r="P107" s="105">
        <f>IF(OR($O107='Auto Responses'!$J$5,$L107='Auto Responses'!$J$5),'Auto Responses'!$J$5,$O107*$L107)</f>
        <v>5</v>
      </c>
      <c r="Q107" s="105">
        <f t="shared" si="7"/>
        <v>0</v>
      </c>
      <c r="R107" s="105">
        <f t="shared" si="12"/>
        <v>0</v>
      </c>
      <c r="S107" s="105">
        <f t="shared" si="8"/>
        <v>0</v>
      </c>
      <c r="T107" s="105">
        <f t="shared" si="9"/>
        <v>0</v>
      </c>
      <c r="U107" s="105">
        <f t="shared" si="13"/>
        <v>34</v>
      </c>
      <c r="V107" s="105">
        <f t="shared" si="10"/>
        <v>0</v>
      </c>
    </row>
    <row r="108" spans="1:22" ht="56" x14ac:dyDescent="0.3">
      <c r="A108" s="4" t="str">
        <f>Questions!$A108</f>
        <v>CHNG-13</v>
      </c>
      <c r="B108" s="4" t="str">
        <f t="shared" si="11"/>
        <v>CHNG</v>
      </c>
      <c r="C108" s="4" t="str">
        <f>VLOOKUP($A108,Questions!$A$3:$L$333,2,0)&amp;""</f>
        <v>Can solution updates be completed without institutional involvement (i.e., technically or organizationally)?</v>
      </c>
      <c r="D108" s="4" t="str">
        <f>VLOOKUP($A108,Questions!$A$3:$L$333,11,0)&amp;""</f>
        <v/>
      </c>
      <c r="E108" s="4" t="str">
        <f>VLOOKUP($A108,Questions!$A$3:$L$333,12,0)&amp;""</f>
        <v>Organization</v>
      </c>
      <c r="F108" s="4" t="str">
        <f>VLOOKUP($A108,'Institution Evaluation'!$A$56:$K$345,3,0)&amp;""</f>
        <v>Yes</v>
      </c>
      <c r="G108" s="4" t="str">
        <f>VLOOKUP($A108,'Institution Evaluation'!$A$56:$K$345,7,0)&amp;""</f>
        <v>Yes</v>
      </c>
      <c r="H108" s="4" t="str">
        <f>VLOOKUP($A108,'Institution Evaluation'!$A$56:$K$345,8,0)&amp;""</f>
        <v/>
      </c>
      <c r="I108" s="4" t="str">
        <f>VLOOKUP($A108,'Institution Evaluation'!$A$56:$K$345,9,0)&amp;""</f>
        <v>Minor Importance</v>
      </c>
      <c r="J108" s="4" t="str">
        <f>VLOOKUP($A108,'Institution Evaluation'!$A$56:$K$345,10,0)&amp;""</f>
        <v/>
      </c>
      <c r="K108" s="4">
        <f>IF($I108='Auto Responses'!$J$11,20,IF($I108='Auto Responses'!$J$13,5,10))</f>
        <v>5</v>
      </c>
      <c r="L108" s="105">
        <f>IF($E108='Auto Responses'!$L$13, 'Auto Responses'!$J$5,IF(AND($D108='Auto Responses'!$J$27,$H108=""),'Auto Responses'!$J$5,IF(AND($D108='Auto Responses'!$J$27,$H108='Auto Responses'!$J$7),1,IF(AND($D108='Auto Responses'!$J$27,$H108='Auto Responses'!$J$8),0,IF(OR(AND($F108=$G108,$H108=""),$H108='Auto Responses'!$J$7),1,0)))))</f>
        <v>1</v>
      </c>
      <c r="M108" s="4" t="str">
        <f>VLOOKUP($A108,'Institution Evaluation'!$A$56:$K$345,11,0)&amp;""</f>
        <v>FALSE</v>
      </c>
      <c r="N108" s="4">
        <f>IF($J108='Auto Responses'!$J$11,1,IF(AND($J108="",$I108='Auto Responses'!$J$11),1,0))</f>
        <v>0</v>
      </c>
      <c r="O108" s="105">
        <f>IF(OR($E108='Auto Responses'!$L$13,$F108='Auto Responses'!$J$5),'Auto Responses'!$J$5,IF($J108="",$K108,IF($J108='Auto Responses'!$J$13,5,IF($J108='Auto Responses'!$J$12,10,IF($J108='Auto Responses'!$J$11,20,0)))))</f>
        <v>5</v>
      </c>
      <c r="P108" s="105">
        <f>IF(OR($O108='Auto Responses'!$J$5,$L108='Auto Responses'!$J$5),'Auto Responses'!$J$5,$O108*$L108)</f>
        <v>5</v>
      </c>
      <c r="Q108" s="105">
        <f t="shared" si="7"/>
        <v>0</v>
      </c>
      <c r="R108" s="105">
        <f t="shared" si="12"/>
        <v>0</v>
      </c>
      <c r="S108" s="105">
        <f t="shared" si="8"/>
        <v>0</v>
      </c>
      <c r="T108" s="105">
        <f t="shared" si="9"/>
        <v>0</v>
      </c>
      <c r="U108" s="105">
        <f t="shared" si="13"/>
        <v>34</v>
      </c>
      <c r="V108" s="105">
        <f t="shared" si="10"/>
        <v>0</v>
      </c>
    </row>
    <row r="109" spans="1:22" ht="56" x14ac:dyDescent="0.3">
      <c r="A109" s="4" t="str">
        <f>Questions!$A109</f>
        <v>CHNG-14</v>
      </c>
      <c r="B109" s="4" t="str">
        <f t="shared" si="11"/>
        <v>CHNG</v>
      </c>
      <c r="C109" s="4" t="str">
        <f>VLOOKUP($A109,Questions!$A$3:$L$333,2,0)&amp;""</f>
        <v>Are upgrades or system changes installed during off-peak hours or in a manner that does not impact the customer?</v>
      </c>
      <c r="D109" s="4" t="str">
        <f>VLOOKUP($A109,Questions!$A$3:$L$333,11,0)&amp;""</f>
        <v/>
      </c>
      <c r="E109" s="4" t="str">
        <f>VLOOKUP($A109,Questions!$A$3:$L$333,12,0)&amp;""</f>
        <v>Organization</v>
      </c>
      <c r="F109" s="4" t="str">
        <f>VLOOKUP($A109,'Institution Evaluation'!$A$56:$K$345,3,0)&amp;""</f>
        <v>Yes</v>
      </c>
      <c r="G109" s="4" t="str">
        <f>VLOOKUP($A109,'Institution Evaluation'!$A$56:$K$345,7,0)&amp;""</f>
        <v>Yes</v>
      </c>
      <c r="H109" s="4" t="str">
        <f>VLOOKUP($A109,'Institution Evaluation'!$A$56:$K$345,8,0)&amp;""</f>
        <v/>
      </c>
      <c r="I109" s="4" t="str">
        <f>VLOOKUP($A109,'Institution Evaluation'!$A$56:$K$345,9,0)&amp;""</f>
        <v>Minor Importance</v>
      </c>
      <c r="J109" s="4" t="str">
        <f>VLOOKUP($A109,'Institution Evaluation'!$A$56:$K$345,10,0)&amp;""</f>
        <v/>
      </c>
      <c r="K109" s="4">
        <f>IF($I109='Auto Responses'!$J$11,20,IF($I109='Auto Responses'!$J$13,5,10))</f>
        <v>5</v>
      </c>
      <c r="L109" s="105">
        <f>IF($E109='Auto Responses'!$L$13, 'Auto Responses'!$J$5,IF(AND($D109='Auto Responses'!$J$27,$H109=""),'Auto Responses'!$J$5,IF(AND($D109='Auto Responses'!$J$27,$H109='Auto Responses'!$J$7),1,IF(AND($D109='Auto Responses'!$J$27,$H109='Auto Responses'!$J$8),0,IF(OR(AND($F109=$G109,$H109=""),$H109='Auto Responses'!$J$7),1,0)))))</f>
        <v>1</v>
      </c>
      <c r="M109" s="4" t="str">
        <f>VLOOKUP($A109,'Institution Evaluation'!$A$56:$K$345,11,0)&amp;""</f>
        <v>FALSE</v>
      </c>
      <c r="N109" s="4">
        <f>IF($J109='Auto Responses'!$J$11,1,IF(AND($J109="",$I109='Auto Responses'!$J$11),1,0))</f>
        <v>0</v>
      </c>
      <c r="O109" s="105">
        <f>IF(OR($E109='Auto Responses'!$L$13,$F109='Auto Responses'!$J$5),'Auto Responses'!$J$5,IF($J109="",$K109,IF($J109='Auto Responses'!$J$13,5,IF($J109='Auto Responses'!$J$12,10,IF($J109='Auto Responses'!$J$11,20,0)))))</f>
        <v>5</v>
      </c>
      <c r="P109" s="105">
        <f>IF(OR($O109='Auto Responses'!$J$5,$L109='Auto Responses'!$J$5),'Auto Responses'!$J$5,$O109*$L109)</f>
        <v>5</v>
      </c>
      <c r="Q109" s="105">
        <f t="shared" si="7"/>
        <v>0</v>
      </c>
      <c r="R109" s="105">
        <f t="shared" si="12"/>
        <v>0</v>
      </c>
      <c r="S109" s="105">
        <f t="shared" si="8"/>
        <v>0</v>
      </c>
      <c r="T109" s="105">
        <f t="shared" si="9"/>
        <v>0</v>
      </c>
      <c r="U109" s="105">
        <f t="shared" si="13"/>
        <v>34</v>
      </c>
      <c r="V109" s="105">
        <f t="shared" si="10"/>
        <v>0</v>
      </c>
    </row>
    <row r="110" spans="1:22" ht="56" x14ac:dyDescent="0.3">
      <c r="A110" s="4" t="str">
        <f>Questions!$A110</f>
        <v>CHNG-15</v>
      </c>
      <c r="B110" s="4" t="str">
        <f t="shared" si="11"/>
        <v>CHNG</v>
      </c>
      <c r="C110" s="4" t="str">
        <f>VLOOKUP($A110,Questions!$A$3:$L$333,2,0)&amp;""</f>
        <v>Do procedures exist to provide that emergency changes are documented and authorized (including after-the-fact approval)?</v>
      </c>
      <c r="D110" s="4" t="str">
        <f>VLOOKUP($A110,Questions!$A$3:$L$333,11,0)&amp;""</f>
        <v/>
      </c>
      <c r="E110" s="4" t="str">
        <f>VLOOKUP($A110,Questions!$A$3:$L$333,12,0)&amp;""</f>
        <v>Organization</v>
      </c>
      <c r="F110" s="4" t="str">
        <f>VLOOKUP($A110,'Institution Evaluation'!$A$56:$K$345,3,0)&amp;""</f>
        <v>Yes</v>
      </c>
      <c r="G110" s="4" t="str">
        <f>VLOOKUP($A110,'Institution Evaluation'!$A$56:$K$345,7,0)&amp;""</f>
        <v>Yes</v>
      </c>
      <c r="H110" s="4" t="str">
        <f>VLOOKUP($A110,'Institution Evaluation'!$A$56:$K$345,8,0)&amp;""</f>
        <v/>
      </c>
      <c r="I110" s="4" t="str">
        <f>VLOOKUP($A110,'Institution Evaluation'!$A$56:$K$345,9,0)&amp;""</f>
        <v>Minor Importance</v>
      </c>
      <c r="J110" s="4" t="str">
        <f>VLOOKUP($A110,'Institution Evaluation'!$A$56:$K$345,10,0)&amp;""</f>
        <v/>
      </c>
      <c r="K110" s="4">
        <f>IF($I110='Auto Responses'!$J$11,20,IF($I110='Auto Responses'!$J$13,5,10))</f>
        <v>5</v>
      </c>
      <c r="L110" s="105">
        <f>IF($E110='Auto Responses'!$L$13, 'Auto Responses'!$J$5,IF(AND($D110='Auto Responses'!$J$27,$H110=""),'Auto Responses'!$J$5,IF(AND($D110='Auto Responses'!$J$27,$H110='Auto Responses'!$J$7),1,IF(AND($D110='Auto Responses'!$J$27,$H110='Auto Responses'!$J$8),0,IF(OR(AND($F110=$G110,$H110=""),$H110='Auto Responses'!$J$7),1,0)))))</f>
        <v>1</v>
      </c>
      <c r="M110" s="4" t="str">
        <f>VLOOKUP($A110,'Institution Evaluation'!$A$56:$K$345,11,0)&amp;""</f>
        <v>FALSE</v>
      </c>
      <c r="N110" s="4">
        <f>IF($J110='Auto Responses'!$J$11,1,IF(AND($J110="",$I110='Auto Responses'!$J$11),1,0))</f>
        <v>0</v>
      </c>
      <c r="O110" s="105">
        <f>IF(OR($E110='Auto Responses'!$L$13,$F110='Auto Responses'!$J$5),'Auto Responses'!$J$5,IF($J110="",$K110,IF($J110='Auto Responses'!$J$13,5,IF($J110='Auto Responses'!$J$12,10,IF($J110='Auto Responses'!$J$11,20,0)))))</f>
        <v>5</v>
      </c>
      <c r="P110" s="105">
        <f>IF(OR($O110='Auto Responses'!$J$5,$L110='Auto Responses'!$J$5),'Auto Responses'!$J$5,$O110*$L110)</f>
        <v>5</v>
      </c>
      <c r="Q110" s="105">
        <f t="shared" si="7"/>
        <v>0</v>
      </c>
      <c r="R110" s="105">
        <f t="shared" si="12"/>
        <v>0</v>
      </c>
      <c r="S110" s="105">
        <f t="shared" si="8"/>
        <v>0</v>
      </c>
      <c r="T110" s="105">
        <f t="shared" si="9"/>
        <v>0</v>
      </c>
      <c r="U110" s="105">
        <f t="shared" si="13"/>
        <v>34</v>
      </c>
      <c r="V110" s="105">
        <f t="shared" si="10"/>
        <v>0</v>
      </c>
    </row>
    <row r="111" spans="1:22" ht="56" x14ac:dyDescent="0.3">
      <c r="A111" s="4" t="str">
        <f>Questions!$A111</f>
        <v>CHNG-16</v>
      </c>
      <c r="B111" s="4" t="str">
        <f t="shared" si="11"/>
        <v>CHNG</v>
      </c>
      <c r="C111" s="4" t="str">
        <f>VLOOKUP($A111,Questions!$A$3:$L$333,2,0)&amp;""</f>
        <v>Do you have a systems management and configuration strategy that encompasses servers, appliances, cloud services, applications, and mobile devices (company and employee owned)?</v>
      </c>
      <c r="D111" s="4" t="str">
        <f>VLOOKUP($A111,Questions!$A$3:$L$333,11,0)&amp;""</f>
        <v/>
      </c>
      <c r="E111" s="4" t="str">
        <f>VLOOKUP($A111,Questions!$A$3:$L$333,12,0)&amp;""</f>
        <v>Organization</v>
      </c>
      <c r="F111" s="4" t="str">
        <f>VLOOKUP($A111,'Institution Evaluation'!$A$56:$K$345,3,0)&amp;""</f>
        <v>Yes</v>
      </c>
      <c r="G111" s="4" t="str">
        <f>VLOOKUP($A111,'Institution Evaluation'!$A$56:$K$345,7,0)&amp;""</f>
        <v>Yes</v>
      </c>
      <c r="H111" s="4" t="str">
        <f>VLOOKUP($A111,'Institution Evaluation'!$A$56:$K$345,8,0)&amp;""</f>
        <v/>
      </c>
      <c r="I111" s="4" t="str">
        <f>VLOOKUP($A111,'Institution Evaluation'!$A$56:$K$345,9,0)&amp;""</f>
        <v>Minor Importance</v>
      </c>
      <c r="J111" s="4" t="str">
        <f>VLOOKUP($A111,'Institution Evaluation'!$A$56:$K$345,10,0)&amp;""</f>
        <v/>
      </c>
      <c r="K111" s="4">
        <f>IF($I111='Auto Responses'!$J$11,20,IF($I111='Auto Responses'!$J$13,5,10))</f>
        <v>5</v>
      </c>
      <c r="L111" s="105">
        <f>IF($E111='Auto Responses'!$L$13, 'Auto Responses'!$J$5,IF(AND($D111='Auto Responses'!$J$27,$H111=""),'Auto Responses'!$J$5,IF(AND($D111='Auto Responses'!$J$27,$H111='Auto Responses'!$J$7),1,IF(AND($D111='Auto Responses'!$J$27,$H111='Auto Responses'!$J$8),0,IF(OR(AND($F111=$G111,$H111=""),$H111='Auto Responses'!$J$7),1,0)))))</f>
        <v>1</v>
      </c>
      <c r="M111" s="4" t="str">
        <f>VLOOKUP($A111,'Institution Evaluation'!$A$56:$K$345,11,0)&amp;""</f>
        <v>FALSE</v>
      </c>
      <c r="N111" s="4">
        <f>IF($J111='Auto Responses'!$J$11,1,IF(AND($J111="",$I111='Auto Responses'!$J$11),1,0))</f>
        <v>0</v>
      </c>
      <c r="O111" s="105">
        <f>IF(OR($E111='Auto Responses'!$L$13,$F111='Auto Responses'!$J$5),'Auto Responses'!$J$5,IF($J111="",$K111,IF($J111='Auto Responses'!$J$13,5,IF($J111='Auto Responses'!$J$12,10,IF($J111='Auto Responses'!$J$11,20,0)))))</f>
        <v>5</v>
      </c>
      <c r="P111" s="105">
        <f>IF(OR($O111='Auto Responses'!$J$5,$L111='Auto Responses'!$J$5),'Auto Responses'!$J$5,$O111*$L111)</f>
        <v>5</v>
      </c>
      <c r="Q111" s="105">
        <f t="shared" si="7"/>
        <v>0</v>
      </c>
      <c r="R111" s="105">
        <f t="shared" si="12"/>
        <v>0</v>
      </c>
      <c r="S111" s="105">
        <f t="shared" si="8"/>
        <v>0</v>
      </c>
      <c r="T111" s="105">
        <f t="shared" si="9"/>
        <v>0</v>
      </c>
      <c r="U111" s="105">
        <f t="shared" si="13"/>
        <v>34</v>
      </c>
      <c r="V111" s="105">
        <f t="shared" si="10"/>
        <v>0</v>
      </c>
    </row>
    <row r="112" spans="1:22" ht="56" x14ac:dyDescent="0.3">
      <c r="A112" s="4" t="str">
        <f>Questions!$A112</f>
        <v>DATA-01</v>
      </c>
      <c r="B112" s="4" t="str">
        <f t="shared" si="11"/>
        <v>DATA</v>
      </c>
      <c r="C112" s="4" t="str">
        <f>VLOOKUP($A112,Questions!$A$3:$L$333,2,0)&amp;""</f>
        <v>Will the institution's data be stored on any devices (database servers, file servers, SAN, NAS, etc.) configured with non-RFC 1918/4193 (i.e., publicly routable) IP addresses?*</v>
      </c>
      <c r="D112" s="4" t="str">
        <f>VLOOKUP($A112,Questions!$A$3:$L$333,11,0)&amp;""</f>
        <v/>
      </c>
      <c r="E112" s="4" t="str">
        <f>VLOOKUP($A112,Questions!$A$3:$L$333,12,0)&amp;""</f>
        <v>Product</v>
      </c>
      <c r="F112" s="4" t="str">
        <f>VLOOKUP($A112,'Institution Evaluation'!$A$56:$K$345,3,0)&amp;""</f>
        <v>No</v>
      </c>
      <c r="G112" s="4" t="str">
        <f>VLOOKUP($A112,'Institution Evaluation'!$A$56:$K$345,7,0)&amp;""</f>
        <v>No</v>
      </c>
      <c r="H112" s="4" t="str">
        <f>VLOOKUP($A112,'Institution Evaluation'!$A$56:$K$345,8,0)&amp;""</f>
        <v/>
      </c>
      <c r="I112" s="4" t="str">
        <f>VLOOKUP($A112,'Institution Evaluation'!$A$56:$K$345,9,0)&amp;""</f>
        <v>Critical Importance</v>
      </c>
      <c r="J112" s="4" t="str">
        <f>VLOOKUP($A112,'Institution Evaluation'!$A$56:$K$345,10,0)&amp;""</f>
        <v/>
      </c>
      <c r="K112" s="4">
        <f>IF($I112='Auto Responses'!$J$11,20,IF($I112='Auto Responses'!$J$13,5,10))</f>
        <v>20</v>
      </c>
      <c r="L112" s="105">
        <f>IF($E112='Auto Responses'!$L$13, 'Auto Responses'!$J$5,IF(AND($D112='Auto Responses'!$J$27,$H112=""),'Auto Responses'!$J$5,IF(AND($D112='Auto Responses'!$J$27,$H112='Auto Responses'!$J$7),1,IF(AND($D112='Auto Responses'!$J$27,$H112='Auto Responses'!$J$8),0,IF(OR(AND($F112=$G112,$H112=""),$H112='Auto Responses'!$J$7),1,0)))))</f>
        <v>1</v>
      </c>
      <c r="M112" s="4" t="str">
        <f>VLOOKUP($A112,'Institution Evaluation'!$A$56:$K$345,11,0)&amp;""</f>
        <v>FALSE</v>
      </c>
      <c r="N112" s="4">
        <f>IF($J112='Auto Responses'!$J$11,1,IF(AND($J112="",$I112='Auto Responses'!$J$11),1,0))</f>
        <v>1</v>
      </c>
      <c r="O112" s="105">
        <f>IF(OR($F$17='Auto Responses'!$J$4,$E112='Auto Responses'!$L$13,$F112='Auto Responses'!$J$5),'Auto Responses'!$J$5,IF($J112="",$K112,IF($J112='Auto Responses'!$J$13,5,IF($J112='Auto Responses'!$J$12,10,IF($J112='Auto Responses'!$J$11,20,0)))))</f>
        <v>20</v>
      </c>
      <c r="P112" s="105">
        <f>IF(OR($O112='Auto Responses'!$J$5,$L112='Auto Responses'!$J$5),'Auto Responses'!$J$5,$O112*$L112)</f>
        <v>20</v>
      </c>
      <c r="Q112" s="105">
        <f t="shared" si="7"/>
        <v>0</v>
      </c>
      <c r="R112" s="105">
        <f t="shared" si="12"/>
        <v>0</v>
      </c>
      <c r="S112" s="105">
        <f t="shared" si="8"/>
        <v>0</v>
      </c>
      <c r="T112" s="105">
        <f t="shared" si="9"/>
        <v>1</v>
      </c>
      <c r="U112" s="105">
        <f t="shared" si="13"/>
        <v>35</v>
      </c>
      <c r="V112" s="105">
        <f t="shared" si="10"/>
        <v>35</v>
      </c>
    </row>
    <row r="113" spans="1:22" ht="56" x14ac:dyDescent="0.3">
      <c r="A113" s="4" t="str">
        <f>Questions!$A113</f>
        <v>DATA-02</v>
      </c>
      <c r="B113" s="4" t="str">
        <f t="shared" si="11"/>
        <v>DATA</v>
      </c>
      <c r="C113" s="4" t="str">
        <f>VLOOKUP($A113,Questions!$A$3:$L$333,2,0)&amp;""</f>
        <v>Is the transport of sensitive data encrypted using security protocols/algorithms (e.g., system-to-client)?*</v>
      </c>
      <c r="D113" s="4" t="str">
        <f>VLOOKUP($A113,Questions!$A$3:$L$333,11,0)&amp;""</f>
        <v/>
      </c>
      <c r="E113" s="4" t="str">
        <f>VLOOKUP($A113,Questions!$A$3:$L$333,12,0)&amp;""</f>
        <v>Product</v>
      </c>
      <c r="F113" s="4" t="str">
        <f>VLOOKUP($A113,'Institution Evaluation'!$A$56:$K$345,3,0)&amp;""</f>
        <v>Yes</v>
      </c>
      <c r="G113" s="4" t="str">
        <f>VLOOKUP($A113,'Institution Evaluation'!$A$56:$K$345,7,0)&amp;""</f>
        <v>Yes</v>
      </c>
      <c r="H113" s="4" t="str">
        <f>VLOOKUP($A113,'Institution Evaluation'!$A$56:$K$345,8,0)&amp;""</f>
        <v/>
      </c>
      <c r="I113" s="4" t="str">
        <f>VLOOKUP($A113,'Institution Evaluation'!$A$56:$K$345,9,0)&amp;""</f>
        <v>Critical Importance</v>
      </c>
      <c r="J113" s="4" t="str">
        <f>VLOOKUP($A113,'Institution Evaluation'!$A$56:$K$345,10,0)&amp;""</f>
        <v/>
      </c>
      <c r="K113" s="4">
        <f>IF($I113='Auto Responses'!$J$11,20,IF($I113='Auto Responses'!$J$13,5,10))</f>
        <v>20</v>
      </c>
      <c r="L113" s="105">
        <f>IF($E113='Auto Responses'!$L$13, 'Auto Responses'!$J$5,IF(AND($D113='Auto Responses'!$J$27,$H113=""),'Auto Responses'!$J$5,IF(AND($D113='Auto Responses'!$J$27,$H113='Auto Responses'!$J$7),1,IF(AND($D113='Auto Responses'!$J$27,$H113='Auto Responses'!$J$8),0,IF(OR(AND($F113=$G113,$H113=""),$H113='Auto Responses'!$J$7),1,0)))))</f>
        <v>1</v>
      </c>
      <c r="M113" s="4" t="str">
        <f>VLOOKUP($A113,'Institution Evaluation'!$A$56:$K$345,11,0)&amp;""</f>
        <v>FALSE</v>
      </c>
      <c r="N113" s="4">
        <f>IF($J113='Auto Responses'!$J$11,1,IF(AND($J113="",$I113='Auto Responses'!$J$11),1,0))</f>
        <v>1</v>
      </c>
      <c r="O113" s="105">
        <f>IF(OR($F$17='Auto Responses'!$J$4,$E113='Auto Responses'!$L$13,$F113='Auto Responses'!$J$5),'Auto Responses'!$J$5,IF($J113="",$K113,IF($J113='Auto Responses'!$J$13,5,IF($J113='Auto Responses'!$J$12,10,IF($J113='Auto Responses'!$J$11,20,0)))))</f>
        <v>20</v>
      </c>
      <c r="P113" s="105">
        <f>IF(OR($O113='Auto Responses'!$J$5,$L113='Auto Responses'!$J$5),'Auto Responses'!$J$5,$O113*$L113)</f>
        <v>20</v>
      </c>
      <c r="Q113" s="105">
        <f t="shared" si="7"/>
        <v>0</v>
      </c>
      <c r="R113" s="105">
        <f t="shared" si="12"/>
        <v>0</v>
      </c>
      <c r="S113" s="105">
        <f t="shared" si="8"/>
        <v>0</v>
      </c>
      <c r="T113" s="105">
        <f t="shared" si="9"/>
        <v>1</v>
      </c>
      <c r="U113" s="105">
        <f t="shared" si="13"/>
        <v>36</v>
      </c>
      <c r="V113" s="105">
        <f t="shared" si="10"/>
        <v>36</v>
      </c>
    </row>
    <row r="114" spans="1:22" ht="56" x14ac:dyDescent="0.3">
      <c r="A114" s="4" t="str">
        <f>Questions!$A114</f>
        <v>DATA-03</v>
      </c>
      <c r="B114" s="4" t="str">
        <f t="shared" si="11"/>
        <v>DATA</v>
      </c>
      <c r="C114" s="4" t="str">
        <f>VLOOKUP($A114,Questions!$A$3:$L$333,2,0)&amp;""</f>
        <v>Is the storage of sensitive data encrypted using security protocols/algorithms (e.g., disk encryption, at-rest, files, and within a running database)?*</v>
      </c>
      <c r="D114" s="4" t="str">
        <f>VLOOKUP($A114,Questions!$A$3:$L$333,11,0)&amp;""</f>
        <v/>
      </c>
      <c r="E114" s="4" t="str">
        <f>VLOOKUP($A114,Questions!$A$3:$L$333,12,0)&amp;""</f>
        <v>Product</v>
      </c>
      <c r="F114" s="4" t="str">
        <f>VLOOKUP($A114,'Institution Evaluation'!$A$56:$K$345,3,0)&amp;""</f>
        <v>Yes</v>
      </c>
      <c r="G114" s="4" t="str">
        <f>VLOOKUP($A114,'Institution Evaluation'!$A$56:$K$345,7,0)&amp;""</f>
        <v>Yes</v>
      </c>
      <c r="H114" s="4" t="str">
        <f>VLOOKUP($A114,'Institution Evaluation'!$A$56:$K$345,8,0)&amp;""</f>
        <v/>
      </c>
      <c r="I114" s="4" t="str">
        <f>VLOOKUP($A114,'Institution Evaluation'!$A$56:$K$345,9,0)&amp;""</f>
        <v>Critical Importance</v>
      </c>
      <c r="J114" s="4" t="str">
        <f>VLOOKUP($A114,'Institution Evaluation'!$A$56:$K$345,10,0)&amp;""</f>
        <v/>
      </c>
      <c r="K114" s="4">
        <f>IF($I114='Auto Responses'!$J$11,20,IF($I114='Auto Responses'!$J$13,5,10))</f>
        <v>20</v>
      </c>
      <c r="L114" s="105">
        <f>IF($E114='Auto Responses'!$L$13, 'Auto Responses'!$J$5,IF(AND($D114='Auto Responses'!$J$27,$H114=""),'Auto Responses'!$J$5,IF(AND($D114='Auto Responses'!$J$27,$H114='Auto Responses'!$J$7),1,IF(AND($D114='Auto Responses'!$J$27,$H114='Auto Responses'!$J$8),0,IF(OR(AND($F114=$G114,$H114=""),$H114='Auto Responses'!$J$7),1,0)))))</f>
        <v>1</v>
      </c>
      <c r="M114" s="4" t="str">
        <f>VLOOKUP($A114,'Institution Evaluation'!$A$56:$K$345,11,0)&amp;""</f>
        <v>FALSE</v>
      </c>
      <c r="N114" s="4">
        <f>IF($J114='Auto Responses'!$J$11,1,IF(AND($J114="",$I114='Auto Responses'!$J$11),1,0))</f>
        <v>1</v>
      </c>
      <c r="O114" s="105">
        <f>IF(OR($F$17='Auto Responses'!$J$4,$E114='Auto Responses'!$L$13,$F114='Auto Responses'!$J$5),'Auto Responses'!$J$5,IF($J114="",$K114,IF($J114='Auto Responses'!$J$13,5,IF($J114='Auto Responses'!$J$12,10,IF($J114='Auto Responses'!$J$11,20,0)))))</f>
        <v>20</v>
      </c>
      <c r="P114" s="105">
        <f>IF(OR($O114='Auto Responses'!$J$5,$L114='Auto Responses'!$J$5),'Auto Responses'!$J$5,$O114*$L114)</f>
        <v>20</v>
      </c>
      <c r="Q114" s="105">
        <f t="shared" si="7"/>
        <v>0</v>
      </c>
      <c r="R114" s="105">
        <f t="shared" si="12"/>
        <v>0</v>
      </c>
      <c r="S114" s="105">
        <f t="shared" si="8"/>
        <v>0</v>
      </c>
      <c r="T114" s="105">
        <f t="shared" si="9"/>
        <v>1</v>
      </c>
      <c r="U114" s="105">
        <f t="shared" si="13"/>
        <v>37</v>
      </c>
      <c r="V114" s="105">
        <f t="shared" si="10"/>
        <v>37</v>
      </c>
    </row>
    <row r="115" spans="1:22" ht="56" x14ac:dyDescent="0.3">
      <c r="A115" s="4" t="str">
        <f>Questions!$A115</f>
        <v>DATA-04</v>
      </c>
      <c r="B115" s="4" t="str">
        <f t="shared" si="11"/>
        <v>DATA</v>
      </c>
      <c r="C115" s="4" t="str">
        <f>VLOOKUP($A115,Questions!$A$3:$L$333,2,0)&amp;""</f>
        <v>Do all cryptographic modules in use in your solution conform to the Federal Information Processing Standards (FIPS PUB 140-2 or 140-3)?*</v>
      </c>
      <c r="D115" s="4" t="str">
        <f>VLOOKUP($A115,Questions!$A$3:$L$333,11,0)&amp;""</f>
        <v/>
      </c>
      <c r="E115" s="4" t="str">
        <f>VLOOKUP($A115,Questions!$A$3:$L$333,12,0)&amp;""</f>
        <v>Product</v>
      </c>
      <c r="F115" s="4" t="str">
        <f>VLOOKUP($A115,'Institution Evaluation'!$A$56:$K$345,3,0)&amp;""</f>
        <v>No</v>
      </c>
      <c r="G115" s="4" t="str">
        <f>VLOOKUP($A115,'Institution Evaluation'!$A$56:$K$345,7,0)&amp;""</f>
        <v>Yes</v>
      </c>
      <c r="H115" s="4" t="str">
        <f>VLOOKUP($A115,'Institution Evaluation'!$A$56:$K$345,8,0)&amp;""</f>
        <v/>
      </c>
      <c r="I115" s="4" t="str">
        <f>VLOOKUP($A115,'Institution Evaluation'!$A$56:$K$345,9,0)&amp;""</f>
        <v>Critical Importance</v>
      </c>
      <c r="J115" s="4" t="str">
        <f>VLOOKUP($A115,'Institution Evaluation'!$A$56:$K$345,10,0)&amp;""</f>
        <v/>
      </c>
      <c r="K115" s="4">
        <f>IF($I115='Auto Responses'!$J$11,20,IF($I115='Auto Responses'!$J$13,5,10))</f>
        <v>20</v>
      </c>
      <c r="L115" s="105">
        <f>IF($E115='Auto Responses'!$L$13, 'Auto Responses'!$J$5,IF(AND($D115='Auto Responses'!$J$27,$H115=""),'Auto Responses'!$J$5,IF(AND($D115='Auto Responses'!$J$27,$H115='Auto Responses'!$J$7),1,IF(AND($D115='Auto Responses'!$J$27,$H115='Auto Responses'!$J$8),0,IF(OR(AND($F115=$G115,$H115=""),$H115='Auto Responses'!$J$7),1,0)))))</f>
        <v>0</v>
      </c>
      <c r="M115" s="4" t="str">
        <f>VLOOKUP($A115,'Institution Evaluation'!$A$56:$K$345,11,0)&amp;""</f>
        <v>FALSE</v>
      </c>
      <c r="N115" s="4">
        <f>IF($J115='Auto Responses'!$J$11,1,IF(AND($J115="",$I115='Auto Responses'!$J$11),1,0))</f>
        <v>1</v>
      </c>
      <c r="O115" s="105">
        <f>IF(OR($F$17='Auto Responses'!$J$4,$E115='Auto Responses'!$L$13,$F115='Auto Responses'!$J$5),'Auto Responses'!$J$5,IF($J115="",$K115,IF($J115='Auto Responses'!$J$13,5,IF($J115='Auto Responses'!$J$12,10,IF($J115='Auto Responses'!$J$11,20,0)))))</f>
        <v>20</v>
      </c>
      <c r="P115" s="105">
        <f>IF(OR($O115='Auto Responses'!$J$5,$L115='Auto Responses'!$J$5),'Auto Responses'!$J$5,$O115*$L115)</f>
        <v>0</v>
      </c>
      <c r="Q115" s="105">
        <f t="shared" si="7"/>
        <v>0</v>
      </c>
      <c r="R115" s="105">
        <f t="shared" si="12"/>
        <v>0</v>
      </c>
      <c r="S115" s="105">
        <f t="shared" si="8"/>
        <v>0</v>
      </c>
      <c r="T115" s="105">
        <f t="shared" si="9"/>
        <v>1</v>
      </c>
      <c r="U115" s="105">
        <f t="shared" si="13"/>
        <v>38</v>
      </c>
      <c r="V115" s="105">
        <f t="shared" si="10"/>
        <v>38</v>
      </c>
    </row>
    <row r="116" spans="1:22" ht="56" x14ac:dyDescent="0.3">
      <c r="A116" s="4" t="str">
        <f>Questions!$A116</f>
        <v>DATA-05</v>
      </c>
      <c r="B116" s="4" t="str">
        <f t="shared" si="11"/>
        <v>DATA</v>
      </c>
      <c r="C116" s="4" t="str">
        <f>VLOOKUP($A116,Questions!$A$3:$L$333,2,0)&amp;""</f>
        <v>Will the institution's data be available within the system for a period of time at the completion of this contract?*</v>
      </c>
      <c r="D116" s="4" t="str">
        <f>VLOOKUP($A116,Questions!$A$3:$L$333,11,0)&amp;""</f>
        <v/>
      </c>
      <c r="E116" s="4" t="str">
        <f>VLOOKUP($A116,Questions!$A$3:$L$333,12,0)&amp;""</f>
        <v>Product</v>
      </c>
      <c r="F116" s="4" t="str">
        <f>VLOOKUP($A116,'Institution Evaluation'!$A$56:$K$345,3,0)&amp;""</f>
        <v>Yes</v>
      </c>
      <c r="G116" s="4" t="str">
        <f>VLOOKUP($A116,'Institution Evaluation'!$A$56:$K$345,7,0)&amp;""</f>
        <v>Yes</v>
      </c>
      <c r="H116" s="4" t="str">
        <f>VLOOKUP($A116,'Institution Evaluation'!$A$56:$K$345,8,0)&amp;""</f>
        <v/>
      </c>
      <c r="I116" s="4" t="str">
        <f>VLOOKUP($A116,'Institution Evaluation'!$A$56:$K$345,9,0)&amp;""</f>
        <v>Critical Importance</v>
      </c>
      <c r="J116" s="4" t="str">
        <f>VLOOKUP($A116,'Institution Evaluation'!$A$56:$K$345,10,0)&amp;""</f>
        <v/>
      </c>
      <c r="K116" s="4">
        <f>IF($I116='Auto Responses'!$J$11,20,IF($I116='Auto Responses'!$J$13,5,10))</f>
        <v>20</v>
      </c>
      <c r="L116" s="105">
        <f>IF($E116='Auto Responses'!$L$13, 'Auto Responses'!$J$5,IF(AND($D116='Auto Responses'!$J$27,$H116=""),'Auto Responses'!$J$5,IF(AND($D116='Auto Responses'!$J$27,$H116='Auto Responses'!$J$7),1,IF(AND($D116='Auto Responses'!$J$27,$H116='Auto Responses'!$J$8),0,IF(OR(AND($F116=$G116,$H116=""),$H116='Auto Responses'!$J$7),1,0)))))</f>
        <v>1</v>
      </c>
      <c r="M116" s="4" t="str">
        <f>VLOOKUP($A116,'Institution Evaluation'!$A$56:$K$345,11,0)&amp;""</f>
        <v>FALSE</v>
      </c>
      <c r="N116" s="4">
        <f>IF($J116='Auto Responses'!$J$11,1,IF(AND($J116="",$I116='Auto Responses'!$J$11),1,0))</f>
        <v>1</v>
      </c>
      <c r="O116" s="105">
        <f>IF(OR($F$17='Auto Responses'!$J$4,$E116='Auto Responses'!$L$13,$F116='Auto Responses'!$J$5),'Auto Responses'!$J$5,IF($J116="",$K116,IF($J116='Auto Responses'!$J$13,5,IF($J116='Auto Responses'!$J$12,10,IF($J116='Auto Responses'!$J$11,20,0)))))</f>
        <v>20</v>
      </c>
      <c r="P116" s="105">
        <f>IF(OR($O116='Auto Responses'!$J$5,$L116='Auto Responses'!$J$5),'Auto Responses'!$J$5,$O116*$L116)</f>
        <v>20</v>
      </c>
      <c r="Q116" s="105">
        <f t="shared" si="7"/>
        <v>0</v>
      </c>
      <c r="R116" s="105">
        <f t="shared" si="12"/>
        <v>0</v>
      </c>
      <c r="S116" s="105">
        <f t="shared" si="8"/>
        <v>0</v>
      </c>
      <c r="T116" s="105">
        <f t="shared" si="9"/>
        <v>1</v>
      </c>
      <c r="U116" s="105">
        <f t="shared" si="13"/>
        <v>39</v>
      </c>
      <c r="V116" s="105">
        <f t="shared" si="10"/>
        <v>39</v>
      </c>
    </row>
    <row r="117" spans="1:22" ht="56" x14ac:dyDescent="0.3">
      <c r="A117" s="4" t="str">
        <f>Questions!$A117</f>
        <v>DATA-06</v>
      </c>
      <c r="B117" s="4" t="str">
        <f t="shared" si="11"/>
        <v>DATA</v>
      </c>
      <c r="C117" s="4" t="str">
        <f>VLOOKUP($A117,Questions!$A$3:$L$333,2,0)&amp;""</f>
        <v>Are ownership rights to all data, inputs, outputs, and metadata retained even through a provider acquisition or bankruptcy event?*</v>
      </c>
      <c r="D117" s="4" t="str">
        <f>VLOOKUP($A117,Questions!$A$3:$L$333,11,0)&amp;""</f>
        <v/>
      </c>
      <c r="E117" s="4" t="str">
        <f>VLOOKUP($A117,Questions!$A$3:$L$333,12,0)&amp;""</f>
        <v>Product</v>
      </c>
      <c r="F117" s="4" t="str">
        <f>VLOOKUP($A117,'Institution Evaluation'!$A$56:$K$345,3,0)&amp;""</f>
        <v>Yes</v>
      </c>
      <c r="G117" s="4" t="str">
        <f>VLOOKUP($A117,'Institution Evaluation'!$A$56:$K$345,7,0)&amp;""</f>
        <v>Yes</v>
      </c>
      <c r="H117" s="4" t="str">
        <f>VLOOKUP($A117,'Institution Evaluation'!$A$56:$K$345,8,0)&amp;""</f>
        <v/>
      </c>
      <c r="I117" s="4" t="str">
        <f>VLOOKUP($A117,'Institution Evaluation'!$A$56:$K$345,9,0)&amp;""</f>
        <v>Critical Importance</v>
      </c>
      <c r="J117" s="4" t="str">
        <f>VLOOKUP($A117,'Institution Evaluation'!$A$56:$K$345,10,0)&amp;""</f>
        <v/>
      </c>
      <c r="K117" s="4">
        <f>IF($I117='Auto Responses'!$J$11,20,IF($I117='Auto Responses'!$J$13,5,10))</f>
        <v>20</v>
      </c>
      <c r="L117" s="105">
        <f>IF($E117='Auto Responses'!$L$13, 'Auto Responses'!$J$5,IF(AND($D117='Auto Responses'!$J$27,$H117=""),'Auto Responses'!$J$5,IF(AND($D117='Auto Responses'!$J$27,$H117='Auto Responses'!$J$7),1,IF(AND($D117='Auto Responses'!$J$27,$H117='Auto Responses'!$J$8),0,IF(OR(AND($F117=$G117,$H117=""),$H117='Auto Responses'!$J$7),1,0)))))</f>
        <v>1</v>
      </c>
      <c r="M117" s="4" t="str">
        <f>VLOOKUP($A117,'Institution Evaluation'!$A$56:$K$345,11,0)&amp;""</f>
        <v>FALSE</v>
      </c>
      <c r="N117" s="4">
        <f>IF($J117='Auto Responses'!$J$11,1,IF(AND($J117="",$I117='Auto Responses'!$J$11),1,0))</f>
        <v>1</v>
      </c>
      <c r="O117" s="105">
        <f>IF(OR($F$17='Auto Responses'!$J$4,$E117='Auto Responses'!$L$13,$F117='Auto Responses'!$J$5),'Auto Responses'!$J$5,IF($J117="",$K117,IF($J117='Auto Responses'!$J$13,5,IF($J117='Auto Responses'!$J$12,10,IF($J117='Auto Responses'!$J$11,20,0)))))</f>
        <v>20</v>
      </c>
      <c r="P117" s="105">
        <f>IF(OR($O117='Auto Responses'!$J$5,$L117='Auto Responses'!$J$5),'Auto Responses'!$J$5,$O117*$L117)</f>
        <v>20</v>
      </c>
      <c r="Q117" s="105">
        <f t="shared" si="7"/>
        <v>0</v>
      </c>
      <c r="R117" s="105">
        <f t="shared" si="12"/>
        <v>0</v>
      </c>
      <c r="S117" s="105">
        <f t="shared" si="8"/>
        <v>0</v>
      </c>
      <c r="T117" s="105">
        <f t="shared" si="9"/>
        <v>1</v>
      </c>
      <c r="U117" s="105">
        <f t="shared" si="13"/>
        <v>40</v>
      </c>
      <c r="V117" s="105">
        <f t="shared" si="10"/>
        <v>40</v>
      </c>
    </row>
    <row r="118" spans="1:22" ht="56" x14ac:dyDescent="0.3">
      <c r="A118" s="4" t="str">
        <f>Questions!$A118</f>
        <v>DATA-07</v>
      </c>
      <c r="B118" s="4" t="str">
        <f t="shared" si="11"/>
        <v>DATA</v>
      </c>
      <c r="C118" s="4" t="str">
        <f>VLOOKUP($A118,Questions!$A$3:$L$333,2,0)&amp;""</f>
        <v>Do backups containing the institution's data ever leave the institution's data zone either physically or via network routing?*</v>
      </c>
      <c r="D118" s="4" t="str">
        <f>VLOOKUP($A118,Questions!$A$3:$L$333,11,0)&amp;""</f>
        <v/>
      </c>
      <c r="E118" s="4" t="str">
        <f>VLOOKUP($A118,Questions!$A$3:$L$333,12,0)&amp;""</f>
        <v>Product</v>
      </c>
      <c r="F118" s="4" t="str">
        <f>VLOOKUP($A118,'Institution Evaluation'!$A$56:$K$345,3,0)&amp;""</f>
        <v>No</v>
      </c>
      <c r="G118" s="4" t="str">
        <f>VLOOKUP($A118,'Institution Evaluation'!$A$56:$K$345,7,0)&amp;""</f>
        <v>No</v>
      </c>
      <c r="H118" s="4" t="str">
        <f>VLOOKUP($A118,'Institution Evaluation'!$A$56:$K$345,8,0)&amp;""</f>
        <v/>
      </c>
      <c r="I118" s="4" t="str">
        <f>VLOOKUP($A118,'Institution Evaluation'!$A$56:$K$345,9,0)&amp;""</f>
        <v>Critical Importance</v>
      </c>
      <c r="J118" s="4" t="str">
        <f>VLOOKUP($A118,'Institution Evaluation'!$A$56:$K$345,10,0)&amp;""</f>
        <v/>
      </c>
      <c r="K118" s="4">
        <f>IF($I118='Auto Responses'!$J$11,20,IF($I118='Auto Responses'!$J$13,5,10))</f>
        <v>20</v>
      </c>
      <c r="L118" s="105">
        <f>IF($E118='Auto Responses'!$L$13, 'Auto Responses'!$J$5,IF(AND($D118='Auto Responses'!$J$27,$H118=""),'Auto Responses'!$J$5,IF(AND($D118='Auto Responses'!$J$27,$H118='Auto Responses'!$J$7),1,IF(AND($D118='Auto Responses'!$J$27,$H118='Auto Responses'!$J$8),0,IF(OR(AND($F118=$G118,$H118=""),$H118='Auto Responses'!$J$7),1,0)))))</f>
        <v>1</v>
      </c>
      <c r="M118" s="4" t="str">
        <f>VLOOKUP($A118,'Institution Evaluation'!$A$56:$K$345,11,0)&amp;""</f>
        <v>FALSE</v>
      </c>
      <c r="N118" s="4">
        <f>IF($J118='Auto Responses'!$J$11,1,IF(AND($J118="",$I118='Auto Responses'!$J$11),1,0))</f>
        <v>1</v>
      </c>
      <c r="O118" s="105">
        <f>IF(OR($F$17='Auto Responses'!$J$4,$E118='Auto Responses'!$L$13,$F118='Auto Responses'!$J$5),'Auto Responses'!$J$5,IF($J118="",$K118,IF($J118='Auto Responses'!$J$13,5,IF($J118='Auto Responses'!$J$12,10,IF($J118='Auto Responses'!$J$11,20,0)))))</f>
        <v>20</v>
      </c>
      <c r="P118" s="105">
        <f>IF(OR($O118='Auto Responses'!$J$5,$L118='Auto Responses'!$J$5),'Auto Responses'!$J$5,$O118*$L118)</f>
        <v>20</v>
      </c>
      <c r="Q118" s="105">
        <f t="shared" si="7"/>
        <v>0</v>
      </c>
      <c r="R118" s="105">
        <f t="shared" si="12"/>
        <v>0</v>
      </c>
      <c r="S118" s="105">
        <f t="shared" si="8"/>
        <v>0</v>
      </c>
      <c r="T118" s="105">
        <f t="shared" si="9"/>
        <v>1</v>
      </c>
      <c r="U118" s="105">
        <f t="shared" si="13"/>
        <v>41</v>
      </c>
      <c r="V118" s="105">
        <f t="shared" si="10"/>
        <v>41</v>
      </c>
    </row>
    <row r="119" spans="1:22" ht="56" x14ac:dyDescent="0.3">
      <c r="A119" s="4" t="str">
        <f>Questions!$A119</f>
        <v>DATA-08</v>
      </c>
      <c r="B119" s="4" t="str">
        <f t="shared" si="11"/>
        <v>DATA</v>
      </c>
      <c r="C119" s="4" t="str">
        <f>VLOOKUP($A119,Questions!$A$3:$L$333,2,0)&amp;""</f>
        <v>Is media used for long-term retention of business data and archival purposes stored in a secure, environmentally protected area?*</v>
      </c>
      <c r="D119" s="4" t="str">
        <f>VLOOKUP($A119,Questions!$A$3:$L$333,11,0)&amp;""</f>
        <v/>
      </c>
      <c r="E119" s="4" t="str">
        <f>VLOOKUP($A119,Questions!$A$3:$L$333,12,0)&amp;""</f>
        <v>Product</v>
      </c>
      <c r="F119" s="4" t="str">
        <f>VLOOKUP($A119,'Institution Evaluation'!$A$56:$K$345,3,0)&amp;""</f>
        <v>Yes</v>
      </c>
      <c r="G119" s="4" t="str">
        <f>VLOOKUP($A119,'Institution Evaluation'!$A$56:$K$345,7,0)&amp;""</f>
        <v>Yes</v>
      </c>
      <c r="H119" s="4" t="str">
        <f>VLOOKUP($A119,'Institution Evaluation'!$A$56:$K$345,8,0)&amp;""</f>
        <v/>
      </c>
      <c r="I119" s="4" t="str">
        <f>VLOOKUP($A119,'Institution Evaluation'!$A$56:$K$345,9,0)&amp;""</f>
        <v>Critical Importance</v>
      </c>
      <c r="J119" s="4" t="str">
        <f>VLOOKUP($A119,'Institution Evaluation'!$A$56:$K$345,10,0)&amp;""</f>
        <v/>
      </c>
      <c r="K119" s="4">
        <f>IF($I119='Auto Responses'!$J$11,20,IF($I119='Auto Responses'!$J$13,5,10))</f>
        <v>20</v>
      </c>
      <c r="L119" s="105">
        <f>IF($E119='Auto Responses'!$L$13, 'Auto Responses'!$J$5,IF(AND($D119='Auto Responses'!$J$27,$H119=""),'Auto Responses'!$J$5,IF(AND($D119='Auto Responses'!$J$27,$H119='Auto Responses'!$J$7),1,IF(AND($D119='Auto Responses'!$J$27,$H119='Auto Responses'!$J$8),0,IF(OR(AND($F119=$G119,$H119=""),$H119='Auto Responses'!$J$7),1,0)))))</f>
        <v>1</v>
      </c>
      <c r="M119" s="4" t="str">
        <f>VLOOKUP($A119,'Institution Evaluation'!$A$56:$K$345,11,0)&amp;""</f>
        <v>FALSE</v>
      </c>
      <c r="N119" s="4">
        <f>IF($J119='Auto Responses'!$J$11,1,IF(AND($J119="",$I119='Auto Responses'!$J$11),1,0))</f>
        <v>1</v>
      </c>
      <c r="O119" s="105">
        <f>IF(OR($F$17='Auto Responses'!$J$4,$E119='Auto Responses'!$L$13,$F119='Auto Responses'!$J$5),'Auto Responses'!$J$5,IF($J119="",$K119,IF($J119='Auto Responses'!$J$13,5,IF($J119='Auto Responses'!$J$12,10,IF($J119='Auto Responses'!$J$11,20,0)))))</f>
        <v>20</v>
      </c>
      <c r="P119" s="105">
        <f>IF(OR($O119='Auto Responses'!$J$5,$L119='Auto Responses'!$J$5),'Auto Responses'!$J$5,$O119*$L119)</f>
        <v>20</v>
      </c>
      <c r="Q119" s="105">
        <f t="shared" si="7"/>
        <v>0</v>
      </c>
      <c r="R119" s="105">
        <f t="shared" si="12"/>
        <v>0</v>
      </c>
      <c r="S119" s="105">
        <f t="shared" si="8"/>
        <v>0</v>
      </c>
      <c r="T119" s="105">
        <f t="shared" si="9"/>
        <v>1</v>
      </c>
      <c r="U119" s="105">
        <f t="shared" si="13"/>
        <v>42</v>
      </c>
      <c r="V119" s="105">
        <f t="shared" si="10"/>
        <v>42</v>
      </c>
    </row>
    <row r="120" spans="1:22" ht="56" x14ac:dyDescent="0.3">
      <c r="A120" s="4" t="str">
        <f>Questions!$A120</f>
        <v>DATA-09</v>
      </c>
      <c r="B120" s="4" t="str">
        <f t="shared" si="11"/>
        <v>DATA</v>
      </c>
      <c r="C120" s="4" t="str">
        <f>VLOOKUP($A120,Questions!$A$3:$L$333,2,0)&amp;""</f>
        <v>At the completion of this contract, will data be returned to the institution and/or deleted from all your systems and archives?</v>
      </c>
      <c r="D120" s="4" t="str">
        <f>VLOOKUP($A120,Questions!$A$3:$L$333,11,0)&amp;""</f>
        <v/>
      </c>
      <c r="E120" s="4" t="str">
        <f>VLOOKUP($A120,Questions!$A$3:$L$333,12,0)&amp;""</f>
        <v>Product</v>
      </c>
      <c r="F120" s="4" t="str">
        <f>VLOOKUP($A120,'Institution Evaluation'!$A$56:$K$345,3,0)&amp;""</f>
        <v>Yes</v>
      </c>
      <c r="G120" s="4" t="str">
        <f>VLOOKUP($A120,'Institution Evaluation'!$A$56:$K$345,7,0)&amp;""</f>
        <v>Yes</v>
      </c>
      <c r="H120" s="4" t="str">
        <f>VLOOKUP($A120,'Institution Evaluation'!$A$56:$K$345,8,0)&amp;""</f>
        <v/>
      </c>
      <c r="I120" s="4" t="str">
        <f>VLOOKUP($A120,'Institution Evaluation'!$A$56:$K$345,9,0)&amp;""</f>
        <v>Standard Importance</v>
      </c>
      <c r="J120" s="4" t="str">
        <f>VLOOKUP($A120,'Institution Evaluation'!$A$56:$K$345,10,0)&amp;""</f>
        <v/>
      </c>
      <c r="K120" s="4">
        <f>IF($I120='Auto Responses'!$J$11,20,IF($I120='Auto Responses'!$J$13,5,10))</f>
        <v>10</v>
      </c>
      <c r="L120" s="105">
        <f>IF($E120='Auto Responses'!$L$13, 'Auto Responses'!$J$5,IF(AND($D120='Auto Responses'!$J$27,$H120=""),'Auto Responses'!$J$5,IF(AND($D120='Auto Responses'!$J$27,$H120='Auto Responses'!$J$7),1,IF(AND($D120='Auto Responses'!$J$27,$H120='Auto Responses'!$J$8),0,IF(OR(AND($F120=$G120,$H120=""),$H120='Auto Responses'!$J$7),1,0)))))</f>
        <v>1</v>
      </c>
      <c r="M120" s="4" t="str">
        <f>VLOOKUP($A120,'Institution Evaluation'!$A$56:$K$345,11,0)&amp;""</f>
        <v>FALSE</v>
      </c>
      <c r="N120" s="4">
        <f>IF($J120='Auto Responses'!$J$11,1,IF(AND($J120="",$I120='Auto Responses'!$J$11),1,0))</f>
        <v>0</v>
      </c>
      <c r="O120" s="105">
        <f>IF(OR($F$17='Auto Responses'!$J$4,$E120='Auto Responses'!$L$13,$F120='Auto Responses'!$J$5),'Auto Responses'!$J$5,IF($J120="",$K120,IF($J120='Auto Responses'!$J$13,5,IF($J120='Auto Responses'!$J$12,10,IF($J120='Auto Responses'!$J$11,20,0)))))</f>
        <v>10</v>
      </c>
      <c r="P120" s="105">
        <f>IF(OR($O120='Auto Responses'!$J$5,$L120='Auto Responses'!$J$5),'Auto Responses'!$J$5,$O120*$L120)</f>
        <v>10</v>
      </c>
      <c r="Q120" s="105">
        <f t="shared" si="7"/>
        <v>0</v>
      </c>
      <c r="R120" s="105">
        <f t="shared" si="12"/>
        <v>0</v>
      </c>
      <c r="S120" s="105">
        <f t="shared" si="8"/>
        <v>0</v>
      </c>
      <c r="T120" s="105">
        <f t="shared" si="9"/>
        <v>0</v>
      </c>
      <c r="U120" s="105">
        <f t="shared" si="13"/>
        <v>42</v>
      </c>
      <c r="V120" s="105">
        <f t="shared" si="10"/>
        <v>0</v>
      </c>
    </row>
    <row r="121" spans="1:22" ht="56" x14ac:dyDescent="0.3">
      <c r="A121" s="4" t="str">
        <f>Questions!$A121</f>
        <v>DATA-10</v>
      </c>
      <c r="B121" s="4" t="str">
        <f t="shared" si="11"/>
        <v>DATA</v>
      </c>
      <c r="C121" s="4" t="str">
        <f>VLOOKUP($A121,Questions!$A$3:$L$333,2,0)&amp;""</f>
        <v>Can the institution extract a full or partial backup of data?</v>
      </c>
      <c r="D121" s="4" t="str">
        <f>VLOOKUP($A121,Questions!$A$3:$L$333,11,0)&amp;""</f>
        <v/>
      </c>
      <c r="E121" s="4" t="str">
        <f>VLOOKUP($A121,Questions!$A$3:$L$333,12,0)&amp;""</f>
        <v>Product</v>
      </c>
      <c r="F121" s="4" t="str">
        <f>VLOOKUP($A121,'Institution Evaluation'!$A$56:$K$345,3,0)&amp;""</f>
        <v>Yes</v>
      </c>
      <c r="G121" s="4" t="str">
        <f>VLOOKUP($A121,'Institution Evaluation'!$A$56:$K$345,7,0)&amp;""</f>
        <v>Yes</v>
      </c>
      <c r="H121" s="4" t="str">
        <f>VLOOKUP($A121,'Institution Evaluation'!$A$56:$K$345,8,0)&amp;""</f>
        <v/>
      </c>
      <c r="I121" s="4" t="str">
        <f>VLOOKUP($A121,'Institution Evaluation'!$A$56:$K$345,9,0)&amp;""</f>
        <v>Standard Importance</v>
      </c>
      <c r="J121" s="4" t="str">
        <f>VLOOKUP($A121,'Institution Evaluation'!$A$56:$K$345,10,0)&amp;""</f>
        <v/>
      </c>
      <c r="K121" s="4">
        <f>IF($I121='Auto Responses'!$J$11,20,IF($I121='Auto Responses'!$J$13,5,10))</f>
        <v>10</v>
      </c>
      <c r="L121" s="105">
        <f>IF($E121='Auto Responses'!$L$13, 'Auto Responses'!$J$5,IF(AND($D121='Auto Responses'!$J$27,$H121=""),'Auto Responses'!$J$5,IF(AND($D121='Auto Responses'!$J$27,$H121='Auto Responses'!$J$7),1,IF(AND($D121='Auto Responses'!$J$27,$H121='Auto Responses'!$J$8),0,IF(OR(AND($F121=$G121,$H121=""),$H121='Auto Responses'!$J$7),1,0)))))</f>
        <v>1</v>
      </c>
      <c r="M121" s="4" t="str">
        <f>VLOOKUP($A121,'Institution Evaluation'!$A$56:$K$345,11,0)&amp;""</f>
        <v>FALSE</v>
      </c>
      <c r="N121" s="4">
        <f>IF($J121='Auto Responses'!$J$11,1,IF(AND($J121="",$I121='Auto Responses'!$J$11),1,0))</f>
        <v>0</v>
      </c>
      <c r="O121" s="105">
        <f>IF(OR($F$17='Auto Responses'!$J$4,$E121='Auto Responses'!$L$13,$F121='Auto Responses'!$J$5),'Auto Responses'!$J$5,IF($J121="",$K121,IF($J121='Auto Responses'!$J$13,5,IF($J121='Auto Responses'!$J$12,10,IF($J121='Auto Responses'!$J$11,20,0)))))</f>
        <v>10</v>
      </c>
      <c r="P121" s="105">
        <f>IF(OR($O121='Auto Responses'!$J$5,$L121='Auto Responses'!$J$5),'Auto Responses'!$J$5,$O121*$L121)</f>
        <v>10</v>
      </c>
      <c r="Q121" s="105">
        <f t="shared" si="7"/>
        <v>0</v>
      </c>
      <c r="R121" s="105">
        <f t="shared" si="12"/>
        <v>0</v>
      </c>
      <c r="S121" s="105">
        <f t="shared" si="8"/>
        <v>0</v>
      </c>
      <c r="T121" s="105">
        <f t="shared" si="9"/>
        <v>0</v>
      </c>
      <c r="U121" s="105">
        <f t="shared" si="13"/>
        <v>42</v>
      </c>
      <c r="V121" s="105">
        <f t="shared" si="10"/>
        <v>0</v>
      </c>
    </row>
    <row r="122" spans="1:22" ht="56" x14ac:dyDescent="0.3">
      <c r="A122" s="4" t="str">
        <f>Questions!$A122</f>
        <v>DATA-11</v>
      </c>
      <c r="B122" s="4" t="str">
        <f t="shared" si="11"/>
        <v>DATA</v>
      </c>
      <c r="C122" s="4" t="str">
        <f>VLOOKUP($A122,Questions!$A$3:$L$333,2,0)&amp;""</f>
        <v>Do current backups include all operating system software, utilities, security software, application software, and data files necessary for recovery?</v>
      </c>
      <c r="D122" s="4" t="str">
        <f>VLOOKUP($A122,Questions!$A$3:$L$333,11,0)&amp;""</f>
        <v/>
      </c>
      <c r="E122" s="4" t="str">
        <f>VLOOKUP($A122,Questions!$A$3:$L$333,12,0)&amp;""</f>
        <v>Product</v>
      </c>
      <c r="F122" s="4" t="str">
        <f>VLOOKUP($A122,'Institution Evaluation'!$A$56:$K$345,3,0)&amp;""</f>
        <v>Yes</v>
      </c>
      <c r="G122" s="4" t="str">
        <f>VLOOKUP($A122,'Institution Evaluation'!$A$56:$K$345,7,0)&amp;""</f>
        <v>Yes</v>
      </c>
      <c r="H122" s="4" t="str">
        <f>VLOOKUP($A122,'Institution Evaluation'!$A$56:$K$345,8,0)&amp;""</f>
        <v/>
      </c>
      <c r="I122" s="4" t="str">
        <f>VLOOKUP($A122,'Institution Evaluation'!$A$56:$K$345,9,0)&amp;""</f>
        <v>Standard Importance</v>
      </c>
      <c r="J122" s="4" t="str">
        <f>VLOOKUP($A122,'Institution Evaluation'!$A$56:$K$345,10,0)&amp;""</f>
        <v/>
      </c>
      <c r="K122" s="4">
        <f>IF($I122='Auto Responses'!$J$11,20,IF($I122='Auto Responses'!$J$13,5,10))</f>
        <v>10</v>
      </c>
      <c r="L122" s="105">
        <f>IF($E122='Auto Responses'!$L$13, 'Auto Responses'!$J$5,IF(AND($D122='Auto Responses'!$J$27,$H122=""),'Auto Responses'!$J$5,IF(AND($D122='Auto Responses'!$J$27,$H122='Auto Responses'!$J$7),1,IF(AND($D122='Auto Responses'!$J$27,$H122='Auto Responses'!$J$8),0,IF(OR(AND($F122=$G122,$H122=""),$H122='Auto Responses'!$J$7),1,0)))))</f>
        <v>1</v>
      </c>
      <c r="M122" s="4" t="str">
        <f>VLOOKUP($A122,'Institution Evaluation'!$A$56:$K$345,11,0)&amp;""</f>
        <v>FALSE</v>
      </c>
      <c r="N122" s="4">
        <f>IF($J122='Auto Responses'!$J$11,1,IF(AND($J122="",$I122='Auto Responses'!$J$11),1,0))</f>
        <v>0</v>
      </c>
      <c r="O122" s="105">
        <f>IF(OR($F$17='Auto Responses'!$J$4,$E122='Auto Responses'!$L$13,$F122='Auto Responses'!$J$5),'Auto Responses'!$J$5,IF($J122="",$K122,IF($J122='Auto Responses'!$J$13,5,IF($J122='Auto Responses'!$J$12,10,IF($J122='Auto Responses'!$J$11,20,0)))))</f>
        <v>10</v>
      </c>
      <c r="P122" s="105">
        <f>IF(OR($O122='Auto Responses'!$J$5,$L122='Auto Responses'!$J$5),'Auto Responses'!$J$5,$O122*$L122)</f>
        <v>10</v>
      </c>
      <c r="Q122" s="105">
        <f t="shared" si="7"/>
        <v>0</v>
      </c>
      <c r="R122" s="105">
        <f t="shared" si="12"/>
        <v>0</v>
      </c>
      <c r="S122" s="105">
        <f t="shared" si="8"/>
        <v>0</v>
      </c>
      <c r="T122" s="105">
        <f t="shared" si="9"/>
        <v>0</v>
      </c>
      <c r="U122" s="105">
        <f t="shared" si="13"/>
        <v>42</v>
      </c>
      <c r="V122" s="105">
        <f t="shared" si="10"/>
        <v>0</v>
      </c>
    </row>
    <row r="123" spans="1:22" ht="56" x14ac:dyDescent="0.3">
      <c r="A123" s="4" t="str">
        <f>Questions!$A123</f>
        <v>DATA-12</v>
      </c>
      <c r="B123" s="4" t="str">
        <f t="shared" si="11"/>
        <v>DATA</v>
      </c>
      <c r="C123" s="4" t="str">
        <f>VLOOKUP($A123,Questions!$A$3:$L$333,2,0)&amp;""</f>
        <v>Are you performing off-site backups (i.e., digitally moved off site)?</v>
      </c>
      <c r="D123" s="4" t="str">
        <f>VLOOKUP($A123,Questions!$A$3:$L$333,11,0)&amp;""</f>
        <v/>
      </c>
      <c r="E123" s="4" t="str">
        <f>VLOOKUP($A123,Questions!$A$3:$L$333,12,0)&amp;""</f>
        <v>Product</v>
      </c>
      <c r="F123" s="4" t="str">
        <f>VLOOKUP($A123,'Institution Evaluation'!$A$56:$K$345,3,0)&amp;""</f>
        <v>No</v>
      </c>
      <c r="G123" s="4" t="str">
        <f>VLOOKUP($A123,'Institution Evaluation'!$A$56:$K$345,7,0)&amp;""</f>
        <v>Yes</v>
      </c>
      <c r="H123" s="4" t="str">
        <f>VLOOKUP($A123,'Institution Evaluation'!$A$56:$K$345,8,0)&amp;""</f>
        <v/>
      </c>
      <c r="I123" s="4" t="str">
        <f>VLOOKUP($A123,'Institution Evaluation'!$A$56:$K$345,9,0)&amp;""</f>
        <v>Standard Importance</v>
      </c>
      <c r="J123" s="4" t="str">
        <f>VLOOKUP($A123,'Institution Evaluation'!$A$56:$K$345,10,0)&amp;""</f>
        <v/>
      </c>
      <c r="K123" s="4">
        <f>IF($I123='Auto Responses'!$J$11,20,IF($I123='Auto Responses'!$J$13,5,10))</f>
        <v>10</v>
      </c>
      <c r="L123" s="105">
        <f>IF($E123='Auto Responses'!$L$13, 'Auto Responses'!$J$5,IF(AND($D123='Auto Responses'!$J$27,$H123=""),'Auto Responses'!$J$5,IF(AND($D123='Auto Responses'!$J$27,$H123='Auto Responses'!$J$7),1,IF(AND($D123='Auto Responses'!$J$27,$H123='Auto Responses'!$J$8),0,IF(OR(AND($F123=$G123,$H123=""),$H123='Auto Responses'!$J$7),1,0)))))</f>
        <v>0</v>
      </c>
      <c r="M123" s="4" t="str">
        <f>VLOOKUP($A123,'Institution Evaluation'!$A$56:$K$345,11,0)&amp;""</f>
        <v>FALSE</v>
      </c>
      <c r="N123" s="4">
        <f>IF($J123='Auto Responses'!$J$11,1,IF(AND($J123="",$I123='Auto Responses'!$J$11),1,0))</f>
        <v>0</v>
      </c>
      <c r="O123" s="105">
        <f>IF(OR($F$17='Auto Responses'!$J$4,$E123='Auto Responses'!$L$13,$F123='Auto Responses'!$J$5),'Auto Responses'!$J$5,IF($J123="",$K123,IF($J123='Auto Responses'!$J$13,5,IF($J123='Auto Responses'!$J$12,10,IF($J123='Auto Responses'!$J$11,20,0)))))</f>
        <v>10</v>
      </c>
      <c r="P123" s="105">
        <f>IF(OR($O123='Auto Responses'!$J$5,$L123='Auto Responses'!$J$5),'Auto Responses'!$J$5,$O123*$L123)</f>
        <v>0</v>
      </c>
      <c r="Q123" s="105">
        <f t="shared" si="7"/>
        <v>0</v>
      </c>
      <c r="R123" s="105">
        <f t="shared" si="12"/>
        <v>0</v>
      </c>
      <c r="S123" s="105">
        <f t="shared" si="8"/>
        <v>0</v>
      </c>
      <c r="T123" s="105">
        <f t="shared" si="9"/>
        <v>0</v>
      </c>
      <c r="U123" s="105">
        <f t="shared" si="13"/>
        <v>42</v>
      </c>
      <c r="V123" s="105">
        <f t="shared" si="10"/>
        <v>0</v>
      </c>
    </row>
    <row r="124" spans="1:22" ht="56" x14ac:dyDescent="0.3">
      <c r="A124" s="4" t="str">
        <f>Questions!$A124</f>
        <v>DATA-13</v>
      </c>
      <c r="B124" s="4" t="str">
        <f t="shared" si="11"/>
        <v>DATA</v>
      </c>
      <c r="C124" s="4" t="str">
        <f>VLOOKUP($A124,Questions!$A$3:$L$333,2,0)&amp;""</f>
        <v>Are physical backups taken off-site (i.e., physically moved off site)?</v>
      </c>
      <c r="D124" s="4" t="str">
        <f>VLOOKUP($A124,Questions!$A$3:$L$333,11,0)&amp;""</f>
        <v/>
      </c>
      <c r="E124" s="4" t="str">
        <f>VLOOKUP($A124,Questions!$A$3:$L$333,12,0)&amp;""</f>
        <v>Product</v>
      </c>
      <c r="F124" s="4" t="str">
        <f>VLOOKUP($A124,'Institution Evaluation'!$A$56:$K$345,3,0)&amp;""</f>
        <v>No</v>
      </c>
      <c r="G124" s="4" t="str">
        <f>VLOOKUP($A124,'Institution Evaluation'!$A$56:$K$345,7,0)&amp;""</f>
        <v>Yes</v>
      </c>
      <c r="H124" s="4" t="str">
        <f>VLOOKUP($A124,'Institution Evaluation'!$A$56:$K$345,8,0)&amp;""</f>
        <v/>
      </c>
      <c r="I124" s="4" t="str">
        <f>VLOOKUP($A124,'Institution Evaluation'!$A$56:$K$345,9,0)&amp;""</f>
        <v>Standard Importance</v>
      </c>
      <c r="J124" s="4" t="str">
        <f>VLOOKUP($A124,'Institution Evaluation'!$A$56:$K$345,10,0)&amp;""</f>
        <v/>
      </c>
      <c r="K124" s="4">
        <f>IF($I124='Auto Responses'!$J$11,20,IF($I124='Auto Responses'!$J$13,5,10))</f>
        <v>10</v>
      </c>
      <c r="L124" s="105">
        <f>IF($E124='Auto Responses'!$L$13, 'Auto Responses'!$J$5,IF(AND($D124='Auto Responses'!$J$27,$H124=""),'Auto Responses'!$J$5,IF(AND($D124='Auto Responses'!$J$27,$H124='Auto Responses'!$J$7),1,IF(AND($D124='Auto Responses'!$J$27,$H124='Auto Responses'!$J$8),0,IF(OR(AND($F124=$G124,$H124=""),$H124='Auto Responses'!$J$7),1,0)))))</f>
        <v>0</v>
      </c>
      <c r="M124" s="4" t="str">
        <f>VLOOKUP($A124,'Institution Evaluation'!$A$56:$K$345,11,0)&amp;""</f>
        <v>FALSE</v>
      </c>
      <c r="N124" s="4">
        <f>IF($J124='Auto Responses'!$J$11,1,IF(AND($J124="",$I124='Auto Responses'!$J$11),1,0))</f>
        <v>0</v>
      </c>
      <c r="O124" s="105">
        <f>IF(OR($F$17='Auto Responses'!$J$4,$E124='Auto Responses'!$L$13,$F124='Auto Responses'!$J$5),'Auto Responses'!$J$5,IF($J124="",$K124,IF($J124='Auto Responses'!$J$13,5,IF($J124='Auto Responses'!$J$12,10,IF($J124='Auto Responses'!$J$11,20,0)))))</f>
        <v>10</v>
      </c>
      <c r="P124" s="105">
        <f>IF(OR($O124='Auto Responses'!$J$5,$L124='Auto Responses'!$J$5),'Auto Responses'!$J$5,$O124*$L124)</f>
        <v>0</v>
      </c>
      <c r="Q124" s="105">
        <f t="shared" si="7"/>
        <v>0</v>
      </c>
      <c r="R124" s="105">
        <f t="shared" si="12"/>
        <v>0</v>
      </c>
      <c r="S124" s="105">
        <f t="shared" si="8"/>
        <v>0</v>
      </c>
      <c r="T124" s="105">
        <f t="shared" si="9"/>
        <v>0</v>
      </c>
      <c r="U124" s="105">
        <f t="shared" si="13"/>
        <v>42</v>
      </c>
      <c r="V124" s="105">
        <f t="shared" si="10"/>
        <v>0</v>
      </c>
    </row>
    <row r="125" spans="1:22" ht="70" x14ac:dyDescent="0.3">
      <c r="A125" s="4" t="str">
        <f>Questions!$A126</f>
        <v>DATA-15</v>
      </c>
      <c r="B125" s="4" t="str">
        <f t="shared" si="11"/>
        <v>DATA</v>
      </c>
      <c r="C125" s="4" t="str">
        <f>VLOOKUP($A125,Questions!$A$3:$L$333,2,0)&amp;""</f>
        <v>Do you have a media handling process that is documented and currently implemented that meets established business needs and regulatory requirements, including end-of-life, repurposing, and data-sanitization procedures?</v>
      </c>
      <c r="D125" s="4" t="str">
        <f>VLOOKUP($A125,Questions!$A$3:$L$333,11,0)&amp;""</f>
        <v/>
      </c>
      <c r="E125" s="4" t="str">
        <f>VLOOKUP($A125,Questions!$A$3:$L$333,12,0)&amp;""</f>
        <v>Product</v>
      </c>
      <c r="F125" s="4" t="str">
        <f>VLOOKUP($A125,'Institution Evaluation'!$A$56:$K$345,3,0)&amp;""</f>
        <v>Yes</v>
      </c>
      <c r="G125" s="4" t="str">
        <f>VLOOKUP($A125,'Institution Evaluation'!$A$56:$K$345,7,0)&amp;""</f>
        <v>Yes</v>
      </c>
      <c r="H125" s="4" t="str">
        <f>VLOOKUP($A125,'Institution Evaluation'!$A$56:$K$345,8,0)&amp;""</f>
        <v/>
      </c>
      <c r="I125" s="4" t="str">
        <f>VLOOKUP($A125,'Institution Evaluation'!$A$56:$K$345,9,0)&amp;""</f>
        <v>Standard Importance</v>
      </c>
      <c r="J125" s="4" t="str">
        <f>VLOOKUP($A125,'Institution Evaluation'!$A$56:$K$345,10,0)&amp;""</f>
        <v/>
      </c>
      <c r="K125" s="4">
        <f>IF($I125='Auto Responses'!$J$11,20,IF($I125='Auto Responses'!$J$13,5,10))</f>
        <v>10</v>
      </c>
      <c r="L125" s="105">
        <f>IF($E125='Auto Responses'!$L$13, 'Auto Responses'!$J$5,IF(AND($D125='Auto Responses'!$J$27,$H125=""),'Auto Responses'!$J$5,IF(AND($D125='Auto Responses'!$J$27,$H125='Auto Responses'!$J$7),1,IF(AND($D125='Auto Responses'!$J$27,$H125='Auto Responses'!$J$8),0,IF(OR(AND($F125=$G125,$H125=""),$H125='Auto Responses'!$J$7),1,0)))))</f>
        <v>1</v>
      </c>
      <c r="M125" s="4" t="str">
        <f>VLOOKUP($A125,'Institution Evaluation'!$A$56:$K$345,11,0)&amp;""</f>
        <v>FALSE</v>
      </c>
      <c r="N125" s="4">
        <f>IF($J125='Auto Responses'!$J$11,1,IF(AND($J125="",$I125='Auto Responses'!$J$11),1,0))</f>
        <v>0</v>
      </c>
      <c r="O125" s="105">
        <f>IF(OR($F$17='Auto Responses'!$J$4,$E125='Auto Responses'!$L$13,$F125='Auto Responses'!$J$5),'Auto Responses'!$J$5,IF($J125="",$K125,IF($J125='Auto Responses'!$J$13,5,IF($J125='Auto Responses'!$J$12,10,IF($J125='Auto Responses'!$J$11,20,0)))))</f>
        <v>10</v>
      </c>
      <c r="P125" s="105">
        <f>IF(OR($O125='Auto Responses'!$J$5,$L125='Auto Responses'!$J$5),'Auto Responses'!$J$5,$O125*$L125)</f>
        <v>10</v>
      </c>
      <c r="Q125" s="105">
        <f t="shared" si="7"/>
        <v>0</v>
      </c>
      <c r="R125" s="105">
        <f t="shared" si="12"/>
        <v>0</v>
      </c>
      <c r="S125" s="105">
        <f t="shared" si="8"/>
        <v>0</v>
      </c>
      <c r="T125" s="105">
        <f t="shared" si="9"/>
        <v>0</v>
      </c>
      <c r="U125" s="105">
        <f t="shared" si="13"/>
        <v>42</v>
      </c>
      <c r="V125" s="105">
        <f t="shared" si="10"/>
        <v>0</v>
      </c>
    </row>
    <row r="126" spans="1:22" ht="56" x14ac:dyDescent="0.3">
      <c r="A126" s="4" t="str">
        <f>Questions!$A127</f>
        <v>DATA-16</v>
      </c>
      <c r="B126" s="4" t="str">
        <f t="shared" si="11"/>
        <v>DATA</v>
      </c>
      <c r="C126" s="4" t="str">
        <f>VLOOKUP($A126,Questions!$A$3:$L$333,2,0)&amp;""</f>
        <v>Does the process described in DATA-15 adhere to DoD 5220.22-M and/or NIST SP 800-88 standards?</v>
      </c>
      <c r="D126" s="4" t="str">
        <f>VLOOKUP($A126,Questions!$A$3:$L$333,11,0)&amp;""</f>
        <v/>
      </c>
      <c r="E126" s="4" t="str">
        <f>VLOOKUP($A126,Questions!$A$3:$L$333,12,0)&amp;""</f>
        <v>Product</v>
      </c>
      <c r="F126" s="4" t="str">
        <f>VLOOKUP($A126,'Institution Evaluation'!$A$56:$K$345,3,0)&amp;""</f>
        <v>Yes</v>
      </c>
      <c r="G126" s="4" t="str">
        <f>VLOOKUP($A126,'Institution Evaluation'!$A$56:$K$345,7,0)&amp;""</f>
        <v>Yes</v>
      </c>
      <c r="H126" s="4" t="str">
        <f>VLOOKUP($A126,'Institution Evaluation'!$A$56:$K$345,8,0)&amp;""</f>
        <v/>
      </c>
      <c r="I126" s="4" t="str">
        <f>VLOOKUP($A126,'Institution Evaluation'!$A$56:$K$345,9,0)&amp;""</f>
        <v>Standard Importance</v>
      </c>
      <c r="J126" s="4" t="str">
        <f>VLOOKUP($A126,'Institution Evaluation'!$A$56:$K$345,10,0)&amp;""</f>
        <v/>
      </c>
      <c r="K126" s="4">
        <f>IF($I126='Auto Responses'!$J$11,20,IF($I126='Auto Responses'!$J$13,5,10))</f>
        <v>10</v>
      </c>
      <c r="L126" s="105">
        <f>IF($E126='Auto Responses'!$L$13, 'Auto Responses'!$J$5,IF(AND($D126='Auto Responses'!$J$27,$H126=""),'Auto Responses'!$J$5,IF(AND($D126='Auto Responses'!$J$27,$H126='Auto Responses'!$J$7),1,IF(AND($D126='Auto Responses'!$J$27,$H126='Auto Responses'!$J$8),0,IF(OR(AND($F126=$G126,$H126=""),$H126='Auto Responses'!$J$7),1,0)))))</f>
        <v>1</v>
      </c>
      <c r="M126" s="4" t="str">
        <f>VLOOKUP($A126,'Institution Evaluation'!$A$56:$K$345,11,0)&amp;""</f>
        <v>FALSE</v>
      </c>
      <c r="N126" s="4">
        <f>IF($J126='Auto Responses'!$J$11,1,IF(AND($J126="",$I126='Auto Responses'!$J$11),1,0))</f>
        <v>0</v>
      </c>
      <c r="O126" s="105">
        <f>IF(OR($F$17='Auto Responses'!$J$4,$E126='Auto Responses'!$L$13,$F126='Auto Responses'!$J$5),'Auto Responses'!$J$5,IF($J126="",$K126,IF($J126='Auto Responses'!$J$13,5,IF($J126='Auto Responses'!$J$12,10,IF($J126='Auto Responses'!$J$11,20,0)))))</f>
        <v>10</v>
      </c>
      <c r="P126" s="105">
        <f>IF(OR($O126='Auto Responses'!$J$5,$L126='Auto Responses'!$J$5),'Auto Responses'!$J$5,$O126*$L126)</f>
        <v>10</v>
      </c>
      <c r="Q126" s="105">
        <f t="shared" si="7"/>
        <v>0</v>
      </c>
      <c r="R126" s="105">
        <f t="shared" si="12"/>
        <v>0</v>
      </c>
      <c r="S126" s="105">
        <f t="shared" si="8"/>
        <v>0</v>
      </c>
      <c r="T126" s="105">
        <f t="shared" si="9"/>
        <v>0</v>
      </c>
      <c r="U126" s="105">
        <f t="shared" si="13"/>
        <v>42</v>
      </c>
      <c r="V126" s="105">
        <f t="shared" si="10"/>
        <v>0</v>
      </c>
    </row>
    <row r="127" spans="1:22" ht="56" x14ac:dyDescent="0.3">
      <c r="A127" s="4" t="str">
        <f>Questions!$A128</f>
        <v>DATA-17</v>
      </c>
      <c r="B127" s="4" t="str">
        <f t="shared" si="11"/>
        <v>DATA</v>
      </c>
      <c r="C127" s="4" t="str">
        <f>VLOOKUP($A127,Questions!$A$3:$L$333,2,0)&amp;""</f>
        <v>Does your staff (or third party) have access to institutional data (e.g., financial, PHI, or other sensitive information) through any means?</v>
      </c>
      <c r="D127" s="4" t="str">
        <f>VLOOKUP($A127,Questions!$A$3:$L$333,11,0)&amp;""</f>
        <v/>
      </c>
      <c r="E127" s="4" t="str">
        <f>VLOOKUP($A127,Questions!$A$3:$L$333,12,0)&amp;""</f>
        <v>Product</v>
      </c>
      <c r="F127" s="4" t="str">
        <f>VLOOKUP($A127,'Institution Evaluation'!$A$56:$K$345,3,0)&amp;""</f>
        <v>Yes</v>
      </c>
      <c r="G127" s="4" t="str">
        <f>VLOOKUP($A127,'Institution Evaluation'!$A$56:$K$345,7,0)&amp;""</f>
        <v>No</v>
      </c>
      <c r="H127" s="4" t="str">
        <f>VLOOKUP($A127,'Institution Evaluation'!$A$56:$K$345,8,0)&amp;""</f>
        <v/>
      </c>
      <c r="I127" s="4" t="str">
        <f>VLOOKUP($A127,'Institution Evaluation'!$A$56:$K$345,9,0)&amp;""</f>
        <v>Standard Importance</v>
      </c>
      <c r="J127" s="4" t="str">
        <f>VLOOKUP($A127,'Institution Evaluation'!$A$56:$K$345,10,0)&amp;""</f>
        <v/>
      </c>
      <c r="K127" s="4">
        <f>IF($I127='Auto Responses'!$J$11,20,IF($I127='Auto Responses'!$J$13,5,10))</f>
        <v>10</v>
      </c>
      <c r="L127" s="105">
        <f>IF($E127='Auto Responses'!$L$13, 'Auto Responses'!$J$5,IF(AND($D127='Auto Responses'!$J$27,$H127=""),'Auto Responses'!$J$5,IF(AND($D127='Auto Responses'!$J$27,$H127='Auto Responses'!$J$7),1,IF(AND($D127='Auto Responses'!$J$27,$H127='Auto Responses'!$J$8),0,IF(OR(AND($F127=$G127,$H127=""),$H127='Auto Responses'!$J$7),1,0)))))</f>
        <v>0</v>
      </c>
      <c r="M127" s="4" t="str">
        <f>VLOOKUP($A127,'Institution Evaluation'!$A$56:$K$345,11,0)&amp;""</f>
        <v>FALSE</v>
      </c>
      <c r="N127" s="4">
        <f>IF($J127='Auto Responses'!$J$11,1,IF(AND($J127="",$I127='Auto Responses'!$J$11),1,0))</f>
        <v>0</v>
      </c>
      <c r="O127" s="105">
        <f>IF(OR($F$17='Auto Responses'!$J$4,$E127='Auto Responses'!$L$13,$F127='Auto Responses'!$J$5),'Auto Responses'!$J$5,IF($J127="",$K127,IF($J127='Auto Responses'!$J$13,5,IF($J127='Auto Responses'!$J$12,10,IF($J127='Auto Responses'!$J$11,20,0)))))</f>
        <v>10</v>
      </c>
      <c r="P127" s="105">
        <f>IF(OR($O127='Auto Responses'!$J$5,$L127='Auto Responses'!$J$5),'Auto Responses'!$J$5,$O127*$L127)</f>
        <v>0</v>
      </c>
      <c r="Q127" s="105">
        <f t="shared" si="7"/>
        <v>0</v>
      </c>
      <c r="R127" s="105">
        <f t="shared" si="12"/>
        <v>0</v>
      </c>
      <c r="S127" s="105">
        <f t="shared" si="8"/>
        <v>0</v>
      </c>
      <c r="T127" s="105">
        <f t="shared" si="9"/>
        <v>0</v>
      </c>
      <c r="U127" s="105">
        <f t="shared" si="13"/>
        <v>42</v>
      </c>
      <c r="V127" s="105">
        <f t="shared" si="10"/>
        <v>0</v>
      </c>
    </row>
    <row r="128" spans="1:22" ht="56" x14ac:dyDescent="0.3">
      <c r="A128" s="4" t="str">
        <f>Questions!$A129</f>
        <v>DATA-18</v>
      </c>
      <c r="B128" s="4" t="str">
        <f t="shared" si="11"/>
        <v>DATA</v>
      </c>
      <c r="C128" s="4" t="str">
        <f>VLOOKUP($A128,Questions!$A$3:$L$333,2,0)&amp;""</f>
        <v>Do you have a documented and currently implemented strategy for securing employee workstations when they work remotely (i.e., not in a trusted computing environment)?</v>
      </c>
      <c r="D128" s="4" t="str">
        <f>VLOOKUP($A128,Questions!$A$3:$L$333,11,0)&amp;""</f>
        <v/>
      </c>
      <c r="E128" s="4" t="str">
        <f>VLOOKUP($A128,Questions!$A$3:$L$333,12,0)&amp;""</f>
        <v>Product</v>
      </c>
      <c r="F128" s="4" t="str">
        <f>VLOOKUP($A128,'Institution Evaluation'!$A$56:$K$345,3,0)&amp;""</f>
        <v>Yes</v>
      </c>
      <c r="G128" s="4" t="str">
        <f>VLOOKUP($A128,'Institution Evaluation'!$A$56:$K$345,7,0)&amp;""</f>
        <v>Yes</v>
      </c>
      <c r="H128" s="4" t="str">
        <f>VLOOKUP($A128,'Institution Evaluation'!$A$56:$K$345,8,0)&amp;""</f>
        <v/>
      </c>
      <c r="I128" s="4" t="str">
        <f>VLOOKUP($A128,'Institution Evaluation'!$A$56:$K$345,9,0)&amp;""</f>
        <v>Standard Importance</v>
      </c>
      <c r="J128" s="4" t="str">
        <f>VLOOKUP($A128,'Institution Evaluation'!$A$56:$K$345,10,0)&amp;""</f>
        <v/>
      </c>
      <c r="K128" s="4">
        <f>IF($I128='Auto Responses'!$J$11,20,IF($I128='Auto Responses'!$J$13,5,10))</f>
        <v>10</v>
      </c>
      <c r="L128" s="105">
        <f>IF($E128='Auto Responses'!$L$13, 'Auto Responses'!$J$5,IF(AND($D128='Auto Responses'!$J$27,$H128=""),'Auto Responses'!$J$5,IF(AND($D128='Auto Responses'!$J$27,$H128='Auto Responses'!$J$7),1,IF(AND($D128='Auto Responses'!$J$27,$H128='Auto Responses'!$J$8),0,IF(OR(AND($F128=$G128,$H128=""),$H128='Auto Responses'!$J$7),1,0)))))</f>
        <v>1</v>
      </c>
      <c r="M128" s="4" t="str">
        <f>VLOOKUP($A128,'Institution Evaluation'!$A$56:$K$345,11,0)&amp;""</f>
        <v>FALSE</v>
      </c>
      <c r="N128" s="4">
        <f>IF($J128='Auto Responses'!$J$11,1,IF(AND($J128="",$I128='Auto Responses'!$J$11),1,0))</f>
        <v>0</v>
      </c>
      <c r="O128" s="105">
        <f>IF(OR($F$17='Auto Responses'!$J$4,$E128='Auto Responses'!$L$13,$F128='Auto Responses'!$J$5),'Auto Responses'!$J$5,IF($J128="",$K128,IF($J128='Auto Responses'!$J$13,5,IF($J128='Auto Responses'!$J$12,10,IF($J128='Auto Responses'!$J$11,20,0)))))</f>
        <v>10</v>
      </c>
      <c r="P128" s="105">
        <f>IF(OR($O128='Auto Responses'!$J$5,$L128='Auto Responses'!$J$5),'Auto Responses'!$J$5,$O128*$L128)</f>
        <v>10</v>
      </c>
      <c r="Q128" s="105">
        <f t="shared" si="7"/>
        <v>0</v>
      </c>
      <c r="R128" s="105">
        <f t="shared" si="12"/>
        <v>0</v>
      </c>
      <c r="S128" s="105">
        <f t="shared" si="8"/>
        <v>0</v>
      </c>
      <c r="T128" s="105">
        <f t="shared" si="9"/>
        <v>0</v>
      </c>
      <c r="U128" s="105">
        <f t="shared" si="13"/>
        <v>42</v>
      </c>
      <c r="V128" s="105">
        <f t="shared" si="10"/>
        <v>0</v>
      </c>
    </row>
    <row r="129" spans="1:22" ht="70" x14ac:dyDescent="0.3">
      <c r="A129" s="4" t="str">
        <f>Questions!$A130</f>
        <v>DATA-19</v>
      </c>
      <c r="B129" s="4" t="str">
        <f t="shared" si="11"/>
        <v>DATA</v>
      </c>
      <c r="C129" s="4" t="str">
        <f>VLOOKUP($A129,Questions!$A$3:$L$333,2,0)&amp;""</f>
        <v>Does the environment provide for dedicated single-tenant capabilities? If not, describe how your solution or environment separates data from different customers (e.g., logically, physically, single tenancy, multi-tenancy).</v>
      </c>
      <c r="D129" s="4" t="str">
        <f>VLOOKUP($A129,Questions!$A$3:$L$333,11,0)&amp;""</f>
        <v/>
      </c>
      <c r="E129" s="4" t="str">
        <f>VLOOKUP($A129,Questions!$A$3:$L$333,12,0)&amp;""</f>
        <v>Product</v>
      </c>
      <c r="F129" s="4" t="str">
        <f>VLOOKUP($A129,'Institution Evaluation'!$A$56:$K$345,3,0)&amp;""</f>
        <v>Yes</v>
      </c>
      <c r="G129" s="4" t="str">
        <f>VLOOKUP($A129,'Institution Evaluation'!$A$56:$K$345,7,0)&amp;""</f>
        <v>Yes</v>
      </c>
      <c r="H129" s="4" t="str">
        <f>VLOOKUP($A129,'Institution Evaluation'!$A$56:$K$345,8,0)&amp;""</f>
        <v/>
      </c>
      <c r="I129" s="4" t="str">
        <f>VLOOKUP($A129,'Institution Evaluation'!$A$56:$K$345,9,0)&amp;""</f>
        <v>Minor Importance</v>
      </c>
      <c r="J129" s="4" t="str">
        <f>VLOOKUP($A129,'Institution Evaluation'!$A$56:$K$345,10,0)&amp;""</f>
        <v/>
      </c>
      <c r="K129" s="4">
        <f>IF($I129='Auto Responses'!$J$11,20,IF($I129='Auto Responses'!$J$13,5,10))</f>
        <v>5</v>
      </c>
      <c r="L129" s="105">
        <f>IF($E129='Auto Responses'!$L$13, 'Auto Responses'!$J$5,IF(AND($D129='Auto Responses'!$J$27,$H129=""),'Auto Responses'!$J$5,IF(AND($D129='Auto Responses'!$J$27,$H129='Auto Responses'!$J$7),1,IF(AND($D129='Auto Responses'!$J$27,$H129='Auto Responses'!$J$8),0,IF(OR(AND($F129=$G129,$H129=""),$H129='Auto Responses'!$J$7),1,0)))))</f>
        <v>1</v>
      </c>
      <c r="M129" s="4" t="str">
        <f>VLOOKUP($A129,'Institution Evaluation'!$A$56:$K$345,11,0)&amp;""</f>
        <v>FALSE</v>
      </c>
      <c r="N129" s="4">
        <f>IF($J129='Auto Responses'!$J$11,1,IF(AND($J129="",$I129='Auto Responses'!$J$11),1,0))</f>
        <v>0</v>
      </c>
      <c r="O129" s="105">
        <f>IF(OR($F$17='Auto Responses'!$J$4,$E129='Auto Responses'!$L$13,$F129='Auto Responses'!$J$5),'Auto Responses'!$J$5,IF($J129="",$K129,IF($J129='Auto Responses'!$J$13,5,IF($J129='Auto Responses'!$J$12,10,IF($J129='Auto Responses'!$J$11,20,0)))))</f>
        <v>5</v>
      </c>
      <c r="P129" s="105">
        <f>IF(OR($O129='Auto Responses'!$J$5,$L129='Auto Responses'!$J$5),'Auto Responses'!$J$5,$O129*$L129)</f>
        <v>5</v>
      </c>
      <c r="Q129" s="105">
        <f t="shared" si="7"/>
        <v>0</v>
      </c>
      <c r="R129" s="105">
        <f t="shared" si="12"/>
        <v>0</v>
      </c>
      <c r="S129" s="105">
        <f t="shared" si="8"/>
        <v>0</v>
      </c>
      <c r="T129" s="105">
        <f t="shared" si="9"/>
        <v>0</v>
      </c>
      <c r="U129" s="105">
        <f t="shared" si="13"/>
        <v>42</v>
      </c>
      <c r="V129" s="105">
        <f t="shared" si="10"/>
        <v>0</v>
      </c>
    </row>
    <row r="130" spans="1:22" ht="56" x14ac:dyDescent="0.3">
      <c r="A130" s="4" t="str">
        <f>Questions!$A131</f>
        <v>DATA-20</v>
      </c>
      <c r="B130" s="4" t="str">
        <f t="shared" si="11"/>
        <v>DATA</v>
      </c>
      <c r="C130" s="4" t="str">
        <f>VLOOKUP($A130,Questions!$A$3:$L$333,2,0)&amp;""</f>
        <v>Are ownership rights to all data, inputs, outputs, and metadata retained by the institution?</v>
      </c>
      <c r="D130" s="4" t="str">
        <f>VLOOKUP($A130,Questions!$A$3:$L$333,11,0)&amp;""</f>
        <v/>
      </c>
      <c r="E130" s="4" t="str">
        <f>VLOOKUP($A130,Questions!$A$3:$L$333,12,0)&amp;""</f>
        <v>Product</v>
      </c>
      <c r="F130" s="4" t="str">
        <f>VLOOKUP($A130,'Institution Evaluation'!$A$56:$K$345,3,0)&amp;""</f>
        <v>Yes</v>
      </c>
      <c r="G130" s="4" t="str">
        <f>VLOOKUP($A130,'Institution Evaluation'!$A$56:$K$345,7,0)&amp;""</f>
        <v>Yes</v>
      </c>
      <c r="H130" s="4" t="str">
        <f>VLOOKUP($A130,'Institution Evaluation'!$A$56:$K$345,8,0)&amp;""</f>
        <v/>
      </c>
      <c r="I130" s="4" t="str">
        <f>VLOOKUP($A130,'Institution Evaluation'!$A$56:$K$345,9,0)&amp;""</f>
        <v>Minor Importance</v>
      </c>
      <c r="J130" s="4" t="str">
        <f>VLOOKUP($A130,'Institution Evaluation'!$A$56:$K$345,10,0)&amp;""</f>
        <v/>
      </c>
      <c r="K130" s="4">
        <f>IF($I130='Auto Responses'!$J$11,20,IF($I130='Auto Responses'!$J$13,5,10))</f>
        <v>5</v>
      </c>
      <c r="L130" s="105">
        <f>IF($E130='Auto Responses'!$L$13, 'Auto Responses'!$J$5,IF(AND($D130='Auto Responses'!$J$27,$H130=""),'Auto Responses'!$J$5,IF(AND($D130='Auto Responses'!$J$27,$H130='Auto Responses'!$J$7),1,IF(AND($D130='Auto Responses'!$J$27,$H130='Auto Responses'!$J$8),0,IF(OR(AND($F130=$G130,$H130=""),$H130='Auto Responses'!$J$7),1,0)))))</f>
        <v>1</v>
      </c>
      <c r="M130" s="4" t="str">
        <f>VLOOKUP($A130,'Institution Evaluation'!$A$56:$K$345,11,0)&amp;""</f>
        <v>FALSE</v>
      </c>
      <c r="N130" s="4">
        <f>IF($J130='Auto Responses'!$J$11,1,IF(AND($J130="",$I130='Auto Responses'!$J$11),1,0))</f>
        <v>0</v>
      </c>
      <c r="O130" s="105">
        <f>IF(OR($F$17='Auto Responses'!$J$4,$E130='Auto Responses'!$L$13,$F130='Auto Responses'!$J$5),'Auto Responses'!$J$5,IF($J130="",$K130,IF($J130='Auto Responses'!$J$13,5,IF($J130='Auto Responses'!$J$12,10,IF($J130='Auto Responses'!$J$11,20,0)))))</f>
        <v>5</v>
      </c>
      <c r="P130" s="105">
        <f>IF(OR($O130='Auto Responses'!$J$5,$L130='Auto Responses'!$J$5),'Auto Responses'!$J$5,$O130*$L130)</f>
        <v>5</v>
      </c>
      <c r="Q130" s="105">
        <f t="shared" ref="Q130:Q189" si="14">IF(M130="TRUE",1,0)</f>
        <v>0</v>
      </c>
      <c r="R130" s="105">
        <f t="shared" si="12"/>
        <v>0</v>
      </c>
      <c r="S130" s="105">
        <f t="shared" ref="S130:S189" si="15">IF(Q130=0,0,R130)</f>
        <v>0</v>
      </c>
      <c r="T130" s="105">
        <f t="shared" ref="T130:T189" si="16">IF(N130=1,1,0)</f>
        <v>0</v>
      </c>
      <c r="U130" s="105">
        <f t="shared" si="13"/>
        <v>42</v>
      </c>
      <c r="V130" s="105">
        <f t="shared" ref="V130:V189" si="17">IF(T130=0,0,U130)</f>
        <v>0</v>
      </c>
    </row>
    <row r="131" spans="1:22" ht="56" x14ac:dyDescent="0.3">
      <c r="A131" s="4" t="str">
        <f>Questions!$A132</f>
        <v>DATA-21</v>
      </c>
      <c r="B131" s="4" t="str">
        <f t="shared" ref="B131:B190" si="18">LEFT(A131,4)</f>
        <v>DATA</v>
      </c>
      <c r="C131" s="4" t="str">
        <f>VLOOKUP($A131,Questions!$A$3:$L$333,2,0)&amp;""</f>
        <v>In the event of imminent bankruptcy, closing of business, or retirement of service, will you provide 90 days for customers to get their data out of the system and migrate applications?</v>
      </c>
      <c r="D131" s="4" t="str">
        <f>VLOOKUP($A131,Questions!$A$3:$L$333,11,0)&amp;""</f>
        <v/>
      </c>
      <c r="E131" s="4" t="str">
        <f>VLOOKUP($A131,Questions!$A$3:$L$333,12,0)&amp;""</f>
        <v>Product</v>
      </c>
      <c r="F131" s="4" t="str">
        <f>VLOOKUP($A131,'Institution Evaluation'!$A$56:$K$345,3,0)&amp;""</f>
        <v>Yes</v>
      </c>
      <c r="G131" s="4" t="str">
        <f>VLOOKUP($A131,'Institution Evaluation'!$A$56:$K$345,7,0)&amp;""</f>
        <v>Yes</v>
      </c>
      <c r="H131" s="4" t="str">
        <f>VLOOKUP($A131,'Institution Evaluation'!$A$56:$K$345,8,0)&amp;""</f>
        <v/>
      </c>
      <c r="I131" s="4" t="str">
        <f>VLOOKUP($A131,'Institution Evaluation'!$A$56:$K$345,9,0)&amp;""</f>
        <v>Minor Importance</v>
      </c>
      <c r="J131" s="4" t="str">
        <f>VLOOKUP($A131,'Institution Evaluation'!$A$56:$K$345,10,0)&amp;""</f>
        <v/>
      </c>
      <c r="K131" s="4">
        <f>IF($I131='Auto Responses'!$J$11,20,IF($I131='Auto Responses'!$J$13,5,10))</f>
        <v>5</v>
      </c>
      <c r="L131" s="105">
        <f>IF($E131='Auto Responses'!$L$13, 'Auto Responses'!$J$5,IF(AND($D131='Auto Responses'!$J$27,$H131=""),'Auto Responses'!$J$5,IF(AND($D131='Auto Responses'!$J$27,$H131='Auto Responses'!$J$7),1,IF(AND($D131='Auto Responses'!$J$27,$H131='Auto Responses'!$J$8),0,IF(OR(AND($F131=$G131,$H131=""),$H131='Auto Responses'!$J$7),1,0)))))</f>
        <v>1</v>
      </c>
      <c r="M131" s="4" t="str">
        <f>VLOOKUP($A131,'Institution Evaluation'!$A$56:$K$345,11,0)&amp;""</f>
        <v>FALSE</v>
      </c>
      <c r="N131" s="4">
        <f>IF($J131='Auto Responses'!$J$11,1,IF(AND($J131="",$I131='Auto Responses'!$J$11),1,0))</f>
        <v>0</v>
      </c>
      <c r="O131" s="105">
        <f>IF(OR($F$17='Auto Responses'!$J$4,$E131='Auto Responses'!$L$13,$F131='Auto Responses'!$J$5),'Auto Responses'!$J$5,IF($J131="",$K131,IF($J131='Auto Responses'!$J$13,5,IF($J131='Auto Responses'!$J$12,10,IF($J131='Auto Responses'!$J$11,20,0)))))</f>
        <v>5</v>
      </c>
      <c r="P131" s="105">
        <f>IF(OR($O131='Auto Responses'!$J$5,$L131='Auto Responses'!$J$5),'Auto Responses'!$J$5,$O131*$L131)</f>
        <v>5</v>
      </c>
      <c r="Q131" s="105">
        <f t="shared" si="14"/>
        <v>0</v>
      </c>
      <c r="R131" s="105">
        <f t="shared" si="12"/>
        <v>0</v>
      </c>
      <c r="S131" s="105">
        <f t="shared" si="15"/>
        <v>0</v>
      </c>
      <c r="T131" s="105">
        <f t="shared" si="16"/>
        <v>0</v>
      </c>
      <c r="U131" s="105">
        <f t="shared" si="13"/>
        <v>42</v>
      </c>
      <c r="V131" s="105">
        <f t="shared" si="17"/>
        <v>0</v>
      </c>
    </row>
    <row r="132" spans="1:22" ht="56" x14ac:dyDescent="0.3">
      <c r="A132" s="4" t="str">
        <f>Questions!$A133</f>
        <v>DATA-22</v>
      </c>
      <c r="B132" s="4" t="str">
        <f t="shared" si="18"/>
        <v>DATA</v>
      </c>
      <c r="C132" s="4" t="str">
        <f>VLOOKUP($A132,Questions!$A$3:$L$333,2,0)&amp;""</f>
        <v>Are involatile backup copies made according to predefined schedules and securely stored and protected?</v>
      </c>
      <c r="D132" s="4" t="str">
        <f>VLOOKUP($A132,Questions!$A$3:$L$333,11,0)&amp;""</f>
        <v/>
      </c>
      <c r="E132" s="4" t="str">
        <f>VLOOKUP($A132,Questions!$A$3:$L$333,12,0)&amp;""</f>
        <v>Product</v>
      </c>
      <c r="F132" s="4" t="str">
        <f>VLOOKUP($A132,'Institution Evaluation'!$A$56:$K$345,3,0)&amp;""</f>
        <v>Yes</v>
      </c>
      <c r="G132" s="4" t="str">
        <f>VLOOKUP($A132,'Institution Evaluation'!$A$56:$K$345,7,0)&amp;""</f>
        <v>Yes</v>
      </c>
      <c r="H132" s="4" t="str">
        <f>VLOOKUP($A132,'Institution Evaluation'!$A$56:$K$345,8,0)&amp;""</f>
        <v/>
      </c>
      <c r="I132" s="4" t="str">
        <f>VLOOKUP($A132,'Institution Evaluation'!$A$56:$K$345,9,0)&amp;""</f>
        <v>Minor Importance</v>
      </c>
      <c r="J132" s="4" t="str">
        <f>VLOOKUP($A132,'Institution Evaluation'!$A$56:$K$345,10,0)&amp;""</f>
        <v/>
      </c>
      <c r="K132" s="4">
        <f>IF($I132='Auto Responses'!$J$11,20,IF($I132='Auto Responses'!$J$13,5,10))</f>
        <v>5</v>
      </c>
      <c r="L132" s="105">
        <f>IF($E132='Auto Responses'!$L$13, 'Auto Responses'!$J$5,IF(AND($D132='Auto Responses'!$J$27,$H132=""),'Auto Responses'!$J$5,IF(AND($D132='Auto Responses'!$J$27,$H132='Auto Responses'!$J$7),1,IF(AND($D132='Auto Responses'!$J$27,$H132='Auto Responses'!$J$8),0,IF(OR(AND($F132=$G132,$H132=""),$H132='Auto Responses'!$J$7),1,0)))))</f>
        <v>1</v>
      </c>
      <c r="M132" s="4" t="str">
        <f>VLOOKUP($A132,'Institution Evaluation'!$A$56:$K$345,11,0)&amp;""</f>
        <v>FALSE</v>
      </c>
      <c r="N132" s="4">
        <f>IF($J132='Auto Responses'!$J$11,1,IF(AND($J132="",$I132='Auto Responses'!$J$11),1,0))</f>
        <v>0</v>
      </c>
      <c r="O132" s="105">
        <f>IF(OR($F$17='Auto Responses'!$J$4,$E132='Auto Responses'!$L$13,$F132='Auto Responses'!$J$5),'Auto Responses'!$J$5,IF($J132="",$K132,IF($J132='Auto Responses'!$J$13,5,IF($J132='Auto Responses'!$J$12,10,IF($J132='Auto Responses'!$J$11,20,0)))))</f>
        <v>5</v>
      </c>
      <c r="P132" s="105">
        <f>IF(OR($O132='Auto Responses'!$J$5,$L132='Auto Responses'!$J$5),'Auto Responses'!$J$5,$O132*$L132)</f>
        <v>5</v>
      </c>
      <c r="Q132" s="105">
        <f t="shared" si="14"/>
        <v>0</v>
      </c>
      <c r="R132" s="105">
        <f t="shared" si="12"/>
        <v>0</v>
      </c>
      <c r="S132" s="105">
        <f t="shared" si="15"/>
        <v>0</v>
      </c>
      <c r="T132" s="105">
        <f t="shared" si="16"/>
        <v>0</v>
      </c>
      <c r="U132" s="105">
        <f t="shared" si="13"/>
        <v>42</v>
      </c>
      <c r="V132" s="105">
        <f t="shared" si="17"/>
        <v>0</v>
      </c>
    </row>
    <row r="133" spans="1:22" ht="56" x14ac:dyDescent="0.3">
      <c r="A133" s="4" t="str">
        <f>Questions!$A125</f>
        <v>DATA-14</v>
      </c>
      <c r="B133" s="4" t="str">
        <f t="shared" si="18"/>
        <v>DATA</v>
      </c>
      <c r="C133" s="4" t="str">
        <f>VLOOKUP($A133,Questions!$A$3:$L$333,2,0)&amp;""</f>
        <v>Are data backups encrypted?</v>
      </c>
      <c r="D133" s="4" t="str">
        <f>VLOOKUP($A133,Questions!$A$3:$L$333,11,0)&amp;""</f>
        <v/>
      </c>
      <c r="E133" s="4" t="str">
        <f>VLOOKUP($A133,Questions!$A$3:$L$333,12,0)&amp;""</f>
        <v>Product</v>
      </c>
      <c r="F133" s="4" t="str">
        <f>VLOOKUP($A133,'Institution Evaluation'!$A$56:$K$345,3,0)&amp;""</f>
        <v>Yes</v>
      </c>
      <c r="G133" s="4" t="str">
        <f>VLOOKUP($A133,'Institution Evaluation'!$A$56:$K$345,7,0)&amp;""</f>
        <v>Yes</v>
      </c>
      <c r="H133" s="4" t="str">
        <f>VLOOKUP($A133,'Institution Evaluation'!$A$56:$K$345,8,0)&amp;""</f>
        <v/>
      </c>
      <c r="I133" s="4" t="str">
        <f>VLOOKUP($A133,'Institution Evaluation'!$A$56:$K$345,9,0)&amp;""</f>
        <v>Minor Importance</v>
      </c>
      <c r="J133" s="4" t="str">
        <f>VLOOKUP($A133,'Institution Evaluation'!$A$56:$K$345,10,0)&amp;""</f>
        <v/>
      </c>
      <c r="K133" s="4">
        <f>IF($I133='Auto Responses'!$J$11,20,IF($I133='Auto Responses'!$J$13,5,10))</f>
        <v>5</v>
      </c>
      <c r="L133" s="105">
        <f>IF($E133='Auto Responses'!$L$13, 'Auto Responses'!$J$5,IF(AND($D133='Auto Responses'!$J$27,$H133=""),'Auto Responses'!$J$5,IF(AND($D133='Auto Responses'!$J$27,$H133='Auto Responses'!$J$7),1,IF(AND($D133='Auto Responses'!$J$27,$H133='Auto Responses'!$J$8),0,IF(OR(AND($F133=$G133,$H133=""),$H133='Auto Responses'!$J$7),1,0)))))</f>
        <v>1</v>
      </c>
      <c r="M133" s="4" t="str">
        <f>VLOOKUP($A133,'Institution Evaluation'!$A$56:$K$345,11,0)&amp;""</f>
        <v>FALSE</v>
      </c>
      <c r="N133" s="4">
        <f>IF($J133='Auto Responses'!$J$11,1,IF(AND($J133="",$I133='Auto Responses'!$J$11),1,0))</f>
        <v>0</v>
      </c>
      <c r="O133" s="105">
        <f>IF(OR($F$17='Auto Responses'!$J$4,$E133='Auto Responses'!$L$13,$F133='Auto Responses'!$J$5),'Auto Responses'!$J$5,IF($J133="",$K133,IF($J133='Auto Responses'!$J$13,5,IF($J133='Auto Responses'!$J$12,10,IF($J133='Auto Responses'!$J$11,20,0)))))</f>
        <v>5</v>
      </c>
      <c r="P133" s="105">
        <f>IF(OR($O133='Auto Responses'!$J$5,$L133='Auto Responses'!$J$5),'Auto Responses'!$J$5,$O133*$L133)</f>
        <v>5</v>
      </c>
      <c r="Q133" s="105">
        <f t="shared" si="14"/>
        <v>0</v>
      </c>
      <c r="R133" s="105">
        <f t="shared" ref="R133:R196" si="19">R132+Q133</f>
        <v>0</v>
      </c>
      <c r="S133" s="105">
        <f t="shared" si="15"/>
        <v>0</v>
      </c>
      <c r="T133" s="105">
        <f t="shared" si="16"/>
        <v>0</v>
      </c>
      <c r="U133" s="105">
        <f t="shared" ref="U133:U196" si="20">U132+T133</f>
        <v>42</v>
      </c>
      <c r="V133" s="105">
        <f t="shared" si="17"/>
        <v>0</v>
      </c>
    </row>
    <row r="134" spans="1:22" ht="70" x14ac:dyDescent="0.3">
      <c r="A134" s="4" t="str">
        <f>Questions!$A134</f>
        <v>DATA-23</v>
      </c>
      <c r="B134" s="4" t="str">
        <f t="shared" si="18"/>
        <v>DATA</v>
      </c>
      <c r="C134" s="4" t="str">
        <f>VLOOKUP($A134,Questions!$A$3:$L$333,2,0)&amp;""</f>
        <v>Do you have a cryptographic key management process (generation, exchange, storage, safeguards, use, vetting, and replacement) that is documented and currently implemented, for all system components (e.g., database, system, web, etc.)?</v>
      </c>
      <c r="D134" s="4" t="str">
        <f>VLOOKUP($A134,Questions!$A$3:$L$333,11,0)&amp;""</f>
        <v/>
      </c>
      <c r="E134" s="4" t="str">
        <f>VLOOKUP($A134,Questions!$A$3:$L$333,12,0)&amp;""</f>
        <v>Product</v>
      </c>
      <c r="F134" s="4" t="str">
        <f>VLOOKUP($A134,'Institution Evaluation'!$A$56:$K$345,3,0)&amp;""</f>
        <v>Yes</v>
      </c>
      <c r="G134" s="4" t="str">
        <f>VLOOKUP($A134,'Institution Evaluation'!$A$56:$K$345,7,0)&amp;""</f>
        <v>Yes</v>
      </c>
      <c r="H134" s="4" t="str">
        <f>VLOOKUP($A134,'Institution Evaluation'!$A$56:$K$345,8,0)&amp;""</f>
        <v/>
      </c>
      <c r="I134" s="4" t="str">
        <f>VLOOKUP($A134,'Institution Evaluation'!$A$56:$K$345,9,0)&amp;""</f>
        <v>Minor Importance</v>
      </c>
      <c r="J134" s="4" t="str">
        <f>VLOOKUP($A134,'Institution Evaluation'!$A$56:$K$345,10,0)&amp;""</f>
        <v/>
      </c>
      <c r="K134" s="4">
        <f>IF($I134='Auto Responses'!$J$11,20,IF($I134='Auto Responses'!$J$13,5,10))</f>
        <v>5</v>
      </c>
      <c r="L134" s="105">
        <f>IF($E134='Auto Responses'!$L$13, 'Auto Responses'!$J$5,IF(AND($D134='Auto Responses'!$J$27,$H134=""),'Auto Responses'!$J$5,IF(AND($D134='Auto Responses'!$J$27,$H134='Auto Responses'!$J$7),1,IF(AND($D134='Auto Responses'!$J$27,$H134='Auto Responses'!$J$8),0,IF(OR(AND($F134=$G134,$H134=""),$H134='Auto Responses'!$J$7),1,0)))))</f>
        <v>1</v>
      </c>
      <c r="M134" s="4" t="str">
        <f>VLOOKUP($A134,'Institution Evaluation'!$A$56:$K$345,11,0)&amp;""</f>
        <v>FALSE</v>
      </c>
      <c r="N134" s="4">
        <f>IF($J134='Auto Responses'!$J$11,1,IF(AND($J134="",$I134='Auto Responses'!$J$11),1,0))</f>
        <v>0</v>
      </c>
      <c r="O134" s="105">
        <f>IF(OR($F$17='Auto Responses'!$J$4,$E134='Auto Responses'!$L$13,$F134='Auto Responses'!$J$5),'Auto Responses'!$J$5,IF($J134="",$K134,IF($J134='Auto Responses'!$J$13,5,IF($J134='Auto Responses'!$J$12,10,IF($J134='Auto Responses'!$J$11,20,0)))))</f>
        <v>5</v>
      </c>
      <c r="P134" s="105">
        <f>IF(OR($O134='Auto Responses'!$J$5,$L134='Auto Responses'!$J$5),'Auto Responses'!$J$5,$O134*$L134)</f>
        <v>5</v>
      </c>
      <c r="Q134" s="105">
        <f t="shared" si="14"/>
        <v>0</v>
      </c>
      <c r="R134" s="105">
        <f t="shared" si="19"/>
        <v>0</v>
      </c>
      <c r="S134" s="105">
        <f t="shared" si="15"/>
        <v>0</v>
      </c>
      <c r="T134" s="105">
        <f t="shared" si="16"/>
        <v>0</v>
      </c>
      <c r="U134" s="105">
        <f t="shared" si="20"/>
        <v>42</v>
      </c>
      <c r="V134" s="105">
        <f t="shared" si="17"/>
        <v>0</v>
      </c>
    </row>
    <row r="135" spans="1:22" ht="56" x14ac:dyDescent="0.3">
      <c r="A135" s="4" t="str">
        <f>Questions!$A135</f>
        <v>DCTR-01</v>
      </c>
      <c r="B135" s="4" t="str">
        <f t="shared" si="18"/>
        <v>DCTR</v>
      </c>
      <c r="C135" s="4" t="str">
        <f>VLOOKUP($A135,Questions!$A$3:$L$333,2,0)&amp;""</f>
        <v>Select your hosting option.</v>
      </c>
      <c r="D135" s="4" t="str">
        <f>VLOOKUP($A135,Questions!$A$3:$L$333,11,0)&amp;""</f>
        <v/>
      </c>
      <c r="E135" s="4" t="str">
        <f>VLOOKUP($A135,Questions!$A$3:$L$333,12,0)&amp;""</f>
        <v>Not scored</v>
      </c>
      <c r="F135" s="4" t="str">
        <f>VLOOKUP($A135,'Institution Evaluation'!$A$56:$K$345,3,0)&amp;""</f>
        <v>Azure</v>
      </c>
      <c r="G135" s="4" t="str">
        <f>VLOOKUP($A135,'Institution Evaluation'!$A$56:$K$345,7,0)&amp;""</f>
        <v>Not scored</v>
      </c>
      <c r="H135" s="4" t="str">
        <f>VLOOKUP($A135,'Institution Evaluation'!$A$56:$K$345,8,0)&amp;""</f>
        <v/>
      </c>
      <c r="I135" s="4" t="str">
        <f>VLOOKUP($A135,'Institution Evaluation'!$A$56:$K$345,9,0)&amp;""</f>
        <v/>
      </c>
      <c r="J135" s="4" t="str">
        <f>VLOOKUP($A135,'Institution Evaluation'!$A$56:$K$345,10,0)&amp;""</f>
        <v/>
      </c>
      <c r="K135" s="4">
        <f>IF($I135='Auto Responses'!$J$11,20,IF($I135='Auto Responses'!$J$13,5,10))</f>
        <v>10</v>
      </c>
      <c r="L135" s="105" t="str">
        <f>IF(OR($E135='Auto Responses'!$L$13,$F135=""),'Auto Responses'!$J$5,IF(AND($D135='Auto Responses'!$J$27,$H135=""),'Auto Responses'!$J$5,IF(AND($D135='Auto Responses'!$J$27,$H135='Auto Responses'!$J$7),1,IF(AND($D135='Auto Responses'!$J$27,$H135='Auto Responses'!$J$8),0,IF(OR(AND($F135=$G135,$H135=""),$H135='Auto Responses'!$J$7),1,0)))))</f>
        <v>N/A</v>
      </c>
      <c r="M135" s="4" t="str">
        <f>VLOOKUP($A135,'Institution Evaluation'!$A$56:$K$345,11,0)&amp;""</f>
        <v>FALSE</v>
      </c>
      <c r="N135" s="4">
        <f>IF($J135='Auto Responses'!$J$11,1,IF(AND($J135="",$I135='Auto Responses'!$J$11),1,0))</f>
        <v>0</v>
      </c>
      <c r="O135" s="105" t="str">
        <f>IF(OR($F$17='Auto Responses'!$J$4,$E135='Auto Responses'!$L$13,$F135="",$F135='Auto Responses'!$J$5),'Auto Responses'!$J$5,IF($J135="",$K135,IF($J135='Auto Responses'!$J$13,5,IF($J135='Auto Responses'!$J$12,10,IF($J135='Auto Responses'!$J$11,20,0)))))</f>
        <v>N/A</v>
      </c>
      <c r="P135" s="105" t="str">
        <f>IF(OR($O135='Auto Responses'!$J$5,$L135='Auto Responses'!$J$5),'Auto Responses'!$J$5,$O135*$L135)</f>
        <v>N/A</v>
      </c>
      <c r="Q135" s="105">
        <f t="shared" si="14"/>
        <v>0</v>
      </c>
      <c r="R135" s="105">
        <f t="shared" si="19"/>
        <v>0</v>
      </c>
      <c r="S135" s="105">
        <f t="shared" si="15"/>
        <v>0</v>
      </c>
      <c r="T135" s="105">
        <f t="shared" si="16"/>
        <v>0</v>
      </c>
      <c r="U135" s="105">
        <f t="shared" si="20"/>
        <v>42</v>
      </c>
      <c r="V135" s="105">
        <f t="shared" si="17"/>
        <v>0</v>
      </c>
    </row>
    <row r="136" spans="1:22" ht="56" x14ac:dyDescent="0.3">
      <c r="A136" s="4" t="str">
        <f>Questions!$A136</f>
        <v>DCTR-02</v>
      </c>
      <c r="B136" s="4" t="str">
        <f t="shared" si="18"/>
        <v>DCTR</v>
      </c>
      <c r="C136" s="4" t="str">
        <f>VLOOKUP($A136,Questions!$A$3:$L$333,2,0)&amp;""</f>
        <v>Is a SOC 2 Type 2 report available for the hosting environment?</v>
      </c>
      <c r="D136" s="4" t="str">
        <f>VLOOKUP($A136,Questions!$A$3:$L$333,11,0)&amp;""</f>
        <v/>
      </c>
      <c r="E136" s="4" t="str">
        <f>VLOOKUP($A136,Questions!$A$3:$L$333,12,0)&amp;""</f>
        <v>Infrastructure</v>
      </c>
      <c r="F136" s="4" t="str">
        <f>VLOOKUP($A136,'Institution Evaluation'!$A$56:$K$345,3,0)&amp;""</f>
        <v/>
      </c>
      <c r="G136" s="4" t="str">
        <f>VLOOKUP($A136,'Institution Evaluation'!$A$56:$K$345,7,0)&amp;""</f>
        <v>Yes</v>
      </c>
      <c r="H136" s="4" t="str">
        <f>VLOOKUP($A136,'Institution Evaluation'!$A$56:$K$345,8,0)&amp;""</f>
        <v/>
      </c>
      <c r="I136" s="4" t="str">
        <f>VLOOKUP($A136,'Institution Evaluation'!$A$56:$K$345,9,0)&amp;""</f>
        <v>Standard Importance</v>
      </c>
      <c r="J136" s="4" t="str">
        <f>VLOOKUP($A136,'Institution Evaluation'!$A$56:$K$345,10,0)&amp;""</f>
        <v/>
      </c>
      <c r="K136" s="4">
        <f>IF($I136='Auto Responses'!$J$11,20,IF($I136='Auto Responses'!$J$13,5,10))</f>
        <v>10</v>
      </c>
      <c r="L136" s="105" t="str">
        <f>IF(OR($E136='Auto Responses'!$L$13,$F136=""),'Auto Responses'!$J$5,IF(AND($D136='Auto Responses'!$J$27,$H136=""),'Auto Responses'!$J$5,IF(AND($D136='Auto Responses'!$J$27,$H136='Auto Responses'!$J$7),1,IF(AND($D136='Auto Responses'!$J$27,$H136='Auto Responses'!$J$8),0,IF(OR(AND($F136=$G136,$H136=""),$H136='Auto Responses'!$J$7),1,0)))))</f>
        <v>N/A</v>
      </c>
      <c r="M136" s="4" t="str">
        <f>VLOOKUP($A136,'Institution Evaluation'!$A$56:$K$345,11,0)&amp;""</f>
        <v>FALSE</v>
      </c>
      <c r="N136" s="4">
        <f>IF($J136='Auto Responses'!$J$11,1,IF(AND($J136="",$I136='Auto Responses'!$J$11),1,0))</f>
        <v>0</v>
      </c>
      <c r="O136" s="105" t="str">
        <f>IF(OR($F$17='Auto Responses'!$J$4,$E136='Auto Responses'!$L$13,$F136="",$F136='Auto Responses'!$J$5),'Auto Responses'!$J$5,IF($J136="",$K136,IF($J136='Auto Responses'!$J$13,5,IF($J136='Auto Responses'!$J$12,10,IF($J136='Auto Responses'!$J$11,20,0)))))</f>
        <v>N/A</v>
      </c>
      <c r="P136" s="105" t="str">
        <f>IF(OR($O136='Auto Responses'!$J$5,$L136='Auto Responses'!$J$5),'Auto Responses'!$J$5,$O136*$L136)</f>
        <v>N/A</v>
      </c>
      <c r="Q136" s="105">
        <f t="shared" si="14"/>
        <v>0</v>
      </c>
      <c r="R136" s="105">
        <f t="shared" si="19"/>
        <v>0</v>
      </c>
      <c r="S136" s="105">
        <f t="shared" si="15"/>
        <v>0</v>
      </c>
      <c r="T136" s="105">
        <f t="shared" si="16"/>
        <v>0</v>
      </c>
      <c r="U136" s="105">
        <f t="shared" si="20"/>
        <v>42</v>
      </c>
      <c r="V136" s="105">
        <f t="shared" si="17"/>
        <v>0</v>
      </c>
    </row>
    <row r="137" spans="1:22" ht="56" x14ac:dyDescent="0.3">
      <c r="A137" s="4" t="str">
        <f>Questions!$A137</f>
        <v>DCTR-03</v>
      </c>
      <c r="B137" s="4" t="str">
        <f t="shared" si="18"/>
        <v>DCTR</v>
      </c>
      <c r="C137" s="4" t="str">
        <f>VLOOKUP($A137,Questions!$A$3:$L$333,2,0)&amp;""</f>
        <v>Are you generally able to accommodate storing each institution's data within its geographic region?</v>
      </c>
      <c r="D137" s="4" t="str">
        <f>VLOOKUP($A137,Questions!$A$3:$L$333,11,0)&amp;""</f>
        <v/>
      </c>
      <c r="E137" s="4" t="str">
        <f>VLOOKUP($A137,Questions!$A$3:$L$333,12,0)&amp;""</f>
        <v>Infrastructure</v>
      </c>
      <c r="F137" s="4" t="str">
        <f>VLOOKUP($A137,'Institution Evaluation'!$A$56:$K$345,3,0)&amp;""</f>
        <v>Yes</v>
      </c>
      <c r="G137" s="4" t="str">
        <f>VLOOKUP($A137,'Institution Evaluation'!$A$56:$K$345,7,0)&amp;""</f>
        <v>Yes</v>
      </c>
      <c r="H137" s="4" t="str">
        <f>VLOOKUP($A137,'Institution Evaluation'!$A$56:$K$345,8,0)&amp;""</f>
        <v/>
      </c>
      <c r="I137" s="4" t="str">
        <f>VLOOKUP($A137,'Institution Evaluation'!$A$56:$K$345,9,0)&amp;""</f>
        <v>Standard Importance</v>
      </c>
      <c r="J137" s="4" t="str">
        <f>VLOOKUP($A137,'Institution Evaluation'!$A$56:$K$345,10,0)&amp;""</f>
        <v/>
      </c>
      <c r="K137" s="4">
        <f>IF($I137='Auto Responses'!$J$11,20,IF($I137='Auto Responses'!$J$13,5,10))</f>
        <v>10</v>
      </c>
      <c r="L137" s="105">
        <f>IF(OR($E137='Auto Responses'!$L$13,$F137=""),'Auto Responses'!$J$5,IF(AND($D137='Auto Responses'!$J$27,$H137=""),'Auto Responses'!$J$5,IF(AND($D137='Auto Responses'!$J$27,$H137='Auto Responses'!$J$7),1,IF(AND($D137='Auto Responses'!$J$27,$H137='Auto Responses'!$J$8),0,IF(OR(AND($F137=$G137,$H137=""),$H137='Auto Responses'!$J$7),1,0)))))</f>
        <v>1</v>
      </c>
      <c r="M137" s="4" t="str">
        <f>VLOOKUP($A137,'Institution Evaluation'!$A$56:$K$345,11,0)&amp;""</f>
        <v>FALSE</v>
      </c>
      <c r="N137" s="4">
        <f>IF($J137='Auto Responses'!$J$11,1,IF(AND($J137="",$I137='Auto Responses'!$J$11),1,0))</f>
        <v>0</v>
      </c>
      <c r="O137" s="105">
        <f>IF(OR($F$17='Auto Responses'!$J$4,$E137='Auto Responses'!$L$13,$F137="",$F137='Auto Responses'!$J$5),'Auto Responses'!$J$5,IF($J137="",$K137,IF($J137='Auto Responses'!$J$13,5,IF($J137='Auto Responses'!$J$12,10,IF($J137='Auto Responses'!$J$11,20,0)))))</f>
        <v>10</v>
      </c>
      <c r="P137" s="105">
        <f>IF(OR($O137='Auto Responses'!$J$5,$L137='Auto Responses'!$J$5),'Auto Responses'!$J$5,$O137*$L137)</f>
        <v>10</v>
      </c>
      <c r="Q137" s="105">
        <f t="shared" si="14"/>
        <v>0</v>
      </c>
      <c r="R137" s="105">
        <f t="shared" si="19"/>
        <v>0</v>
      </c>
      <c r="S137" s="105">
        <f t="shared" si="15"/>
        <v>0</v>
      </c>
      <c r="T137" s="105">
        <f t="shared" si="16"/>
        <v>0</v>
      </c>
      <c r="U137" s="105">
        <f t="shared" si="20"/>
        <v>42</v>
      </c>
      <c r="V137" s="105">
        <f t="shared" si="17"/>
        <v>0</v>
      </c>
    </row>
    <row r="138" spans="1:22" ht="56" x14ac:dyDescent="0.3">
      <c r="A138" s="4" t="str">
        <f>Questions!$A138</f>
        <v>DCTR-04</v>
      </c>
      <c r="B138" s="4" t="str">
        <f t="shared" si="18"/>
        <v>DCTR</v>
      </c>
      <c r="C138" s="4" t="str">
        <f>VLOOKUP($A138,Questions!$A$3:$L$333,2,0)&amp;""</f>
        <v>Are the data centers staffed 24 hours a day, seven days a week (i.e., 24 x 7 x 365)?</v>
      </c>
      <c r="D138" s="4" t="str">
        <f>VLOOKUP($A138,Questions!$A$3:$L$333,11,0)&amp;""</f>
        <v/>
      </c>
      <c r="E138" s="4" t="str">
        <f>VLOOKUP($A138,Questions!$A$3:$L$333,12,0)&amp;""</f>
        <v>Infrastructure</v>
      </c>
      <c r="F138" s="4" t="str">
        <f>VLOOKUP($A138,'Institution Evaluation'!$A$56:$K$345,3,0)&amp;""</f>
        <v/>
      </c>
      <c r="G138" s="4" t="str">
        <f>VLOOKUP($A138,'Institution Evaluation'!$A$56:$K$345,7,0)&amp;""</f>
        <v>Yes</v>
      </c>
      <c r="H138" s="4" t="str">
        <f>VLOOKUP($A138,'Institution Evaluation'!$A$56:$K$345,8,0)&amp;""</f>
        <v/>
      </c>
      <c r="I138" s="4" t="str">
        <f>VLOOKUP($A138,'Institution Evaluation'!$A$56:$K$345,9,0)&amp;""</f>
        <v>Standard Importance</v>
      </c>
      <c r="J138" s="4" t="str">
        <f>VLOOKUP($A138,'Institution Evaluation'!$A$56:$K$345,10,0)&amp;""</f>
        <v/>
      </c>
      <c r="K138" s="4">
        <f>IF($I138='Auto Responses'!$J$11,20,IF($I138='Auto Responses'!$J$13,5,10))</f>
        <v>10</v>
      </c>
      <c r="L138" s="105" t="str">
        <f>IF(OR($E138='Auto Responses'!$L$13,$F138=""),'Auto Responses'!$J$5,IF(AND($D138='Auto Responses'!$J$27,$H138=""),'Auto Responses'!$J$5,IF(AND($D138='Auto Responses'!$J$27,$H138='Auto Responses'!$J$7),1,IF(AND($D138='Auto Responses'!$J$27,$H138='Auto Responses'!$J$8),0,IF(OR(AND($F138=$G138,$H138=""),$H138='Auto Responses'!$J$7),1,0)))))</f>
        <v>N/A</v>
      </c>
      <c r="M138" s="4" t="str">
        <f>VLOOKUP($A138,'Institution Evaluation'!$A$56:$K$345,11,0)&amp;""</f>
        <v>FALSE</v>
      </c>
      <c r="N138" s="4">
        <f>IF($J138='Auto Responses'!$J$11,1,IF(AND($J138="",$I138='Auto Responses'!$J$11),1,0))</f>
        <v>0</v>
      </c>
      <c r="O138" s="105" t="str">
        <f>IF(OR($F$17='Auto Responses'!$J$4,$E138='Auto Responses'!$L$13,$F138="",$F138='Auto Responses'!$J$5),'Auto Responses'!$J$5,IF($J138="",$K138,IF($J138='Auto Responses'!$J$13,5,IF($J138='Auto Responses'!$J$12,10,IF($J138='Auto Responses'!$J$11,20,0)))))</f>
        <v>N/A</v>
      </c>
      <c r="P138" s="105" t="str">
        <f>IF(OR($O138='Auto Responses'!$J$5,$L138='Auto Responses'!$J$5),'Auto Responses'!$J$5,$O138*$L138)</f>
        <v>N/A</v>
      </c>
      <c r="Q138" s="105">
        <f t="shared" si="14"/>
        <v>0</v>
      </c>
      <c r="R138" s="105">
        <f t="shared" si="19"/>
        <v>0</v>
      </c>
      <c r="S138" s="105">
        <f t="shared" si="15"/>
        <v>0</v>
      </c>
      <c r="T138" s="105">
        <f t="shared" si="16"/>
        <v>0</v>
      </c>
      <c r="U138" s="105">
        <f t="shared" si="20"/>
        <v>42</v>
      </c>
      <c r="V138" s="105">
        <f t="shared" si="17"/>
        <v>0</v>
      </c>
    </row>
    <row r="139" spans="1:22" ht="56" x14ac:dyDescent="0.3">
      <c r="A139" s="4" t="str">
        <f>Questions!$A139</f>
        <v>DCTR-05</v>
      </c>
      <c r="B139" s="4" t="str">
        <f t="shared" si="18"/>
        <v>DCTR</v>
      </c>
      <c r="C139" s="4" t="str">
        <f>VLOOKUP($A139,Questions!$A$3:$L$333,2,0)&amp;""</f>
        <v>Are your servers separated from other companies via a physical barrier, such as a cage or hard walls?</v>
      </c>
      <c r="D139" s="4" t="str">
        <f>VLOOKUP($A139,Questions!$A$3:$L$333,11,0)&amp;""</f>
        <v/>
      </c>
      <c r="E139" s="4" t="str">
        <f>VLOOKUP($A139,Questions!$A$3:$L$333,12,0)&amp;""</f>
        <v>Infrastructure</v>
      </c>
      <c r="F139" s="4" t="str">
        <f>VLOOKUP($A139,'Institution Evaluation'!$A$56:$K$345,3,0)&amp;""</f>
        <v/>
      </c>
      <c r="G139" s="4" t="str">
        <f>VLOOKUP($A139,'Institution Evaluation'!$A$56:$K$345,7,0)&amp;""</f>
        <v>Yes</v>
      </c>
      <c r="H139" s="4" t="str">
        <f>VLOOKUP($A139,'Institution Evaluation'!$A$56:$K$345,8,0)&amp;""</f>
        <v/>
      </c>
      <c r="I139" s="4" t="str">
        <f>VLOOKUP($A139,'Institution Evaluation'!$A$56:$K$345,9,0)&amp;""</f>
        <v>Standard Importance</v>
      </c>
      <c r="J139" s="4" t="str">
        <f>VLOOKUP($A139,'Institution Evaluation'!$A$56:$K$345,10,0)&amp;""</f>
        <v/>
      </c>
      <c r="K139" s="4">
        <f>IF($I139='Auto Responses'!$J$11,20,IF($I139='Auto Responses'!$J$13,5,10))</f>
        <v>10</v>
      </c>
      <c r="L139" s="105" t="str">
        <f>IF(OR($E139='Auto Responses'!$L$13,$F139=""),'Auto Responses'!$J$5,IF(AND($D139='Auto Responses'!$J$27,$H139=""),'Auto Responses'!$J$5,IF(AND($D139='Auto Responses'!$J$27,$H139='Auto Responses'!$J$7),1,IF(AND($D139='Auto Responses'!$J$27,$H139='Auto Responses'!$J$8),0,IF(OR(AND($F139=$G139,$H139=""),$H139='Auto Responses'!$J$7),1,0)))))</f>
        <v>N/A</v>
      </c>
      <c r="M139" s="4" t="str">
        <f>VLOOKUP($A139,'Institution Evaluation'!$A$56:$K$345,11,0)&amp;""</f>
        <v>FALSE</v>
      </c>
      <c r="N139" s="4">
        <f>IF($J139='Auto Responses'!$J$11,1,IF(AND($J139="",$I139='Auto Responses'!$J$11),1,0))</f>
        <v>0</v>
      </c>
      <c r="O139" s="105" t="str">
        <f>IF(OR($F$17='Auto Responses'!$J$4,$E139='Auto Responses'!$L$13,$F139="",$F139='Auto Responses'!$J$5),'Auto Responses'!$J$5,IF($J139="",$K139,IF($J139='Auto Responses'!$J$13,5,IF($J139='Auto Responses'!$J$12,10,IF($J139='Auto Responses'!$J$11,20,0)))))</f>
        <v>N/A</v>
      </c>
      <c r="P139" s="105" t="str">
        <f>IF(OR($O139='Auto Responses'!$J$5,$L139='Auto Responses'!$J$5),'Auto Responses'!$J$5,$O139*$L139)</f>
        <v>N/A</v>
      </c>
      <c r="Q139" s="105">
        <f t="shared" si="14"/>
        <v>0</v>
      </c>
      <c r="R139" s="105">
        <f t="shared" si="19"/>
        <v>0</v>
      </c>
      <c r="S139" s="105">
        <f t="shared" si="15"/>
        <v>0</v>
      </c>
      <c r="T139" s="105">
        <f t="shared" si="16"/>
        <v>0</v>
      </c>
      <c r="U139" s="105">
        <f t="shared" si="20"/>
        <v>42</v>
      </c>
      <c r="V139" s="105">
        <f t="shared" si="17"/>
        <v>0</v>
      </c>
    </row>
    <row r="140" spans="1:22" ht="56" x14ac:dyDescent="0.3">
      <c r="A140" s="4" t="str">
        <f>Questions!$A140</f>
        <v>DCTR-06</v>
      </c>
      <c r="B140" s="4" t="str">
        <f t="shared" si="18"/>
        <v>DCTR</v>
      </c>
      <c r="C140" s="4" t="str">
        <f>VLOOKUP($A140,Questions!$A$3:$L$333,2,0)&amp;""</f>
        <v>Does a physical barrier fully enclose the physical space, preventing unauthorized physical contact with any of your devices?*</v>
      </c>
      <c r="D140" s="4" t="str">
        <f>VLOOKUP($A140,Questions!$A$3:$L$333,11,0)&amp;""</f>
        <v/>
      </c>
      <c r="E140" s="4" t="str">
        <f>VLOOKUP($A140,Questions!$A$3:$L$333,12,0)&amp;""</f>
        <v>Infrastructure</v>
      </c>
      <c r="F140" s="4" t="str">
        <f>VLOOKUP($A140,'Institution Evaluation'!$A$56:$K$345,3,0)&amp;""</f>
        <v/>
      </c>
      <c r="G140" s="4" t="str">
        <f>VLOOKUP($A140,'Institution Evaluation'!$A$56:$K$345,7,0)&amp;""</f>
        <v>Yes</v>
      </c>
      <c r="H140" s="4" t="str">
        <f>VLOOKUP($A140,'Institution Evaluation'!$A$56:$K$345,8,0)&amp;""</f>
        <v/>
      </c>
      <c r="I140" s="4" t="str">
        <f>VLOOKUP($A140,'Institution Evaluation'!$A$56:$K$345,9,0)&amp;""</f>
        <v>Critical Importance</v>
      </c>
      <c r="J140" s="4" t="str">
        <f>VLOOKUP($A140,'Institution Evaluation'!$A$56:$K$345,10,0)&amp;""</f>
        <v/>
      </c>
      <c r="K140" s="4">
        <f>IF($I140='Auto Responses'!$J$11,20,IF($I140='Auto Responses'!$J$13,5,10))</f>
        <v>20</v>
      </c>
      <c r="L140" s="105" t="str">
        <f>IF(OR($E140='Auto Responses'!$L$13,$F140=""),'Auto Responses'!$J$5,IF(AND($D140='Auto Responses'!$J$27,$H140=""),'Auto Responses'!$J$5,IF(AND($D140='Auto Responses'!$J$27,$H140='Auto Responses'!$J$7),1,IF(AND($D140='Auto Responses'!$J$27,$H140='Auto Responses'!$J$8),0,IF(OR(AND($F140=$G140,$H140=""),$H140='Auto Responses'!$J$7),1,0)))))</f>
        <v>N/A</v>
      </c>
      <c r="M140" s="4" t="str">
        <f>VLOOKUP($A140,'Institution Evaluation'!$A$56:$K$345,11,0)&amp;""</f>
        <v>FALSE</v>
      </c>
      <c r="N140" s="4">
        <f>IF($J140='Auto Responses'!$J$11,1,IF(AND($J140="",$I140='Auto Responses'!$J$11),1,0))</f>
        <v>1</v>
      </c>
      <c r="O140" s="105" t="str">
        <f>IF(OR($F$17='Auto Responses'!$J$4,$E140='Auto Responses'!$L$13,$F140="",$F140='Auto Responses'!$J$5),'Auto Responses'!$J$5,IF($J140="",$K140,IF($J140='Auto Responses'!$J$13,5,IF($J140='Auto Responses'!$J$12,10,IF($J140='Auto Responses'!$J$11,20,0)))))</f>
        <v>N/A</v>
      </c>
      <c r="P140" s="105" t="str">
        <f>IF(OR($O140='Auto Responses'!$J$5,$L140='Auto Responses'!$J$5),'Auto Responses'!$J$5,$O140*$L140)</f>
        <v>N/A</v>
      </c>
      <c r="Q140" s="105">
        <f t="shared" si="14"/>
        <v>0</v>
      </c>
      <c r="R140" s="105">
        <f t="shared" si="19"/>
        <v>0</v>
      </c>
      <c r="S140" s="105">
        <f t="shared" si="15"/>
        <v>0</v>
      </c>
      <c r="T140" s="105">
        <f t="shared" si="16"/>
        <v>1</v>
      </c>
      <c r="U140" s="105">
        <f t="shared" si="20"/>
        <v>43</v>
      </c>
      <c r="V140" s="105">
        <f t="shared" si="17"/>
        <v>43</v>
      </c>
    </row>
    <row r="141" spans="1:22" ht="56" x14ac:dyDescent="0.3">
      <c r="A141" s="4" t="str">
        <f>Questions!$A141</f>
        <v>DCTR-07</v>
      </c>
      <c r="B141" s="4" t="str">
        <f t="shared" si="18"/>
        <v>DCTR</v>
      </c>
      <c r="C141" s="4" t="str">
        <f>VLOOKUP($A141,Questions!$A$3:$L$333,2,0)&amp;""</f>
        <v>Are your primary and secondary data centers geographically diverse?</v>
      </c>
      <c r="D141" s="4" t="str">
        <f>VLOOKUP($A141,Questions!$A$3:$L$333,11,0)&amp;""</f>
        <v/>
      </c>
      <c r="E141" s="4" t="str">
        <f>VLOOKUP($A141,Questions!$A$3:$L$333,12,0)&amp;""</f>
        <v>Infrastructure</v>
      </c>
      <c r="F141" s="4" t="str">
        <f>VLOOKUP($A141,'Institution Evaluation'!$A$56:$K$345,3,0)&amp;""</f>
        <v>No</v>
      </c>
      <c r="G141" s="4" t="str">
        <f>VLOOKUP($A141,'Institution Evaluation'!$A$56:$K$345,7,0)&amp;""</f>
        <v>Yes</v>
      </c>
      <c r="H141" s="4" t="str">
        <f>VLOOKUP($A141,'Institution Evaluation'!$A$56:$K$345,8,0)&amp;""</f>
        <v/>
      </c>
      <c r="I141" s="4" t="str">
        <f>VLOOKUP($A141,'Institution Evaluation'!$A$56:$K$345,9,0)&amp;""</f>
        <v>Standard Importance</v>
      </c>
      <c r="J141" s="4" t="str">
        <f>VLOOKUP($A141,'Institution Evaluation'!$A$56:$K$345,10,0)&amp;""</f>
        <v/>
      </c>
      <c r="K141" s="4">
        <f>IF($I141='Auto Responses'!$J$11,20,IF($I141='Auto Responses'!$J$13,5,10))</f>
        <v>10</v>
      </c>
      <c r="L141" s="105">
        <f>IF(OR($E141='Auto Responses'!$L$13,$F141=""),'Auto Responses'!$J$5,IF(AND($D141='Auto Responses'!$J$27,$H141=""),'Auto Responses'!$J$5,IF(AND($D141='Auto Responses'!$J$27,$H141='Auto Responses'!$J$7),1,IF(AND($D141='Auto Responses'!$J$27,$H141='Auto Responses'!$J$8),0,IF(OR(AND($F141=$G141,$H141=""),$H141='Auto Responses'!$J$7),1,0)))))</f>
        <v>0</v>
      </c>
      <c r="M141" s="4" t="str">
        <f>VLOOKUP($A141,'Institution Evaluation'!$A$56:$K$345,11,0)&amp;""</f>
        <v>FALSE</v>
      </c>
      <c r="N141" s="4">
        <f>IF($J141='Auto Responses'!$J$11,1,IF(AND($J141="",$I141='Auto Responses'!$J$11),1,0))</f>
        <v>0</v>
      </c>
      <c r="O141" s="105">
        <f>IF(OR($F$17='Auto Responses'!$J$4,$E141='Auto Responses'!$L$13,$F141="",$F141='Auto Responses'!$J$5),'Auto Responses'!$J$5,IF($J141="",$K141,IF($J141='Auto Responses'!$J$13,5,IF($J141='Auto Responses'!$J$12,10,IF($J141='Auto Responses'!$J$11,20,0)))))</f>
        <v>10</v>
      </c>
      <c r="P141" s="105">
        <f>IF(OR($O141='Auto Responses'!$J$5,$L141='Auto Responses'!$J$5),'Auto Responses'!$J$5,$O141*$L141)</f>
        <v>0</v>
      </c>
      <c r="Q141" s="105">
        <f t="shared" si="14"/>
        <v>0</v>
      </c>
      <c r="R141" s="105">
        <f t="shared" si="19"/>
        <v>0</v>
      </c>
      <c r="S141" s="105">
        <f t="shared" si="15"/>
        <v>0</v>
      </c>
      <c r="T141" s="105">
        <f t="shared" si="16"/>
        <v>0</v>
      </c>
      <c r="U141" s="105">
        <f t="shared" si="20"/>
        <v>43</v>
      </c>
      <c r="V141" s="105">
        <f t="shared" si="17"/>
        <v>0</v>
      </c>
    </row>
    <row r="142" spans="1:22" ht="56" x14ac:dyDescent="0.3">
      <c r="A142" s="4" t="str">
        <f>Questions!$A142</f>
        <v>DCTR-08</v>
      </c>
      <c r="B142" s="4" t="str">
        <f t="shared" si="18"/>
        <v>DCTR</v>
      </c>
      <c r="C142" s="4" t="str">
        <f>VLOOKUP($A142,Questions!$A$3:$L$333,2,0)&amp;""</f>
        <v>Is the service hosted in a high-availability environment?</v>
      </c>
      <c r="D142" s="4" t="str">
        <f>VLOOKUP($A142,Questions!$A$3:$L$333,11,0)&amp;""</f>
        <v/>
      </c>
      <c r="E142" s="4" t="str">
        <f>VLOOKUP($A142,Questions!$A$3:$L$333,12,0)&amp;""</f>
        <v>Infrastructure</v>
      </c>
      <c r="F142" s="4" t="str">
        <f>VLOOKUP($A142,'Institution Evaluation'!$A$56:$K$345,3,0)&amp;""</f>
        <v>No</v>
      </c>
      <c r="G142" s="4" t="str">
        <f>VLOOKUP($A142,'Institution Evaluation'!$A$56:$K$345,7,0)&amp;""</f>
        <v>Yes</v>
      </c>
      <c r="H142" s="4" t="str">
        <f>VLOOKUP($A142,'Institution Evaluation'!$A$56:$K$345,8,0)&amp;""</f>
        <v/>
      </c>
      <c r="I142" s="4" t="str">
        <f>VLOOKUP($A142,'Institution Evaluation'!$A$56:$K$345,9,0)&amp;""</f>
        <v>Standard Importance</v>
      </c>
      <c r="J142" s="4" t="str">
        <f>VLOOKUP($A142,'Institution Evaluation'!$A$56:$K$345,10,0)&amp;""</f>
        <v/>
      </c>
      <c r="K142" s="4">
        <f>IF($I142='Auto Responses'!$J$11,20,IF($I142='Auto Responses'!$J$13,5,10))</f>
        <v>10</v>
      </c>
      <c r="L142" s="105">
        <f>IF(OR($E142='Auto Responses'!$L$13,$F142=""),'Auto Responses'!$J$5,IF(AND($D142='Auto Responses'!$J$27,$H142=""),'Auto Responses'!$J$5,IF(AND($D142='Auto Responses'!$J$27,$H142='Auto Responses'!$J$7),1,IF(AND($D142='Auto Responses'!$J$27,$H142='Auto Responses'!$J$8),0,IF(OR(AND($F142=$G142,$H142=""),$H142='Auto Responses'!$J$7),1,0)))))</f>
        <v>0</v>
      </c>
      <c r="M142" s="4" t="str">
        <f>VLOOKUP($A142,'Institution Evaluation'!$A$56:$K$345,11,0)&amp;""</f>
        <v>FALSE</v>
      </c>
      <c r="N142" s="4">
        <f>IF($J142='Auto Responses'!$J$11,1,IF(AND($J142="",$I142='Auto Responses'!$J$11),1,0))</f>
        <v>0</v>
      </c>
      <c r="O142" s="105">
        <f>IF(OR($F$17='Auto Responses'!$J$4,$E142='Auto Responses'!$L$13,$F142="",$F142='Auto Responses'!$J$5),'Auto Responses'!$J$5,IF($J142="",$K142,IF($J142='Auto Responses'!$J$13,5,IF($J142='Auto Responses'!$J$12,10,IF($J142='Auto Responses'!$J$11,20,0)))))</f>
        <v>10</v>
      </c>
      <c r="P142" s="105">
        <f>IF(OR($O142='Auto Responses'!$J$5,$L142='Auto Responses'!$J$5),'Auto Responses'!$J$5,$O142*$L142)</f>
        <v>0</v>
      </c>
      <c r="Q142" s="105">
        <f t="shared" si="14"/>
        <v>0</v>
      </c>
      <c r="R142" s="105">
        <f t="shared" si="19"/>
        <v>0</v>
      </c>
      <c r="S142" s="105">
        <f t="shared" si="15"/>
        <v>0</v>
      </c>
      <c r="T142" s="105">
        <f t="shared" si="16"/>
        <v>0</v>
      </c>
      <c r="U142" s="105">
        <f t="shared" si="20"/>
        <v>43</v>
      </c>
      <c r="V142" s="105">
        <f t="shared" si="17"/>
        <v>0</v>
      </c>
    </row>
    <row r="143" spans="1:22" ht="56" x14ac:dyDescent="0.3">
      <c r="A143" s="4" t="str">
        <f>Questions!$A143</f>
        <v>DCTR-09</v>
      </c>
      <c r="B143" s="4" t="str">
        <f t="shared" si="18"/>
        <v>DCTR</v>
      </c>
      <c r="C143" s="4" t="str">
        <f>VLOOKUP($A143,Questions!$A$3:$L$333,2,0)&amp;""</f>
        <v>Is redundant power available for all data centers where institutional data will reside?</v>
      </c>
      <c r="D143" s="4" t="str">
        <f>VLOOKUP($A143,Questions!$A$3:$L$333,11,0)&amp;""</f>
        <v/>
      </c>
      <c r="E143" s="4" t="str">
        <f>VLOOKUP($A143,Questions!$A$3:$L$333,12,0)&amp;""</f>
        <v>Infrastructure</v>
      </c>
      <c r="F143" s="4" t="str">
        <f>VLOOKUP($A143,'Institution Evaluation'!$A$56:$K$345,3,0)&amp;""</f>
        <v/>
      </c>
      <c r="G143" s="4" t="str">
        <f>VLOOKUP($A143,'Institution Evaluation'!$A$56:$K$345,7,0)&amp;""</f>
        <v>Yes</v>
      </c>
      <c r="H143" s="4" t="str">
        <f>VLOOKUP($A143,'Institution Evaluation'!$A$56:$K$345,8,0)&amp;""</f>
        <v/>
      </c>
      <c r="I143" s="4" t="str">
        <f>VLOOKUP($A143,'Institution Evaluation'!$A$56:$K$345,9,0)&amp;""</f>
        <v>Standard Importance</v>
      </c>
      <c r="J143" s="4" t="str">
        <f>VLOOKUP($A143,'Institution Evaluation'!$A$56:$K$345,10,0)&amp;""</f>
        <v/>
      </c>
      <c r="K143" s="4">
        <f>IF($I143='Auto Responses'!$J$11,20,IF($I143='Auto Responses'!$J$13,5,10))</f>
        <v>10</v>
      </c>
      <c r="L143" s="105" t="str">
        <f>IF(OR($E143='Auto Responses'!$L$13,$F143=""),'Auto Responses'!$J$5,IF(AND($D143='Auto Responses'!$J$27,$H143=""),'Auto Responses'!$J$5,IF(AND($D143='Auto Responses'!$J$27,$H143='Auto Responses'!$J$7),1,IF(AND($D143='Auto Responses'!$J$27,$H143='Auto Responses'!$J$8),0,IF(OR(AND($F143=$G143,$H143=""),$H143='Auto Responses'!$J$7),1,0)))))</f>
        <v>N/A</v>
      </c>
      <c r="M143" s="4" t="str">
        <f>VLOOKUP($A143,'Institution Evaluation'!$A$56:$K$345,11,0)&amp;""</f>
        <v>FALSE</v>
      </c>
      <c r="N143" s="4">
        <f>IF($J143='Auto Responses'!$J$11,1,IF(AND($J143="",$I143='Auto Responses'!$J$11),1,0))</f>
        <v>0</v>
      </c>
      <c r="O143" s="105" t="str">
        <f>IF(OR($F$17='Auto Responses'!$J$4,$E143='Auto Responses'!$L$13,$F143="",$F143='Auto Responses'!$J$5),'Auto Responses'!$J$5,IF($J143="",$K143,IF($J143='Auto Responses'!$J$13,5,IF($J143='Auto Responses'!$J$12,10,IF($J143='Auto Responses'!$J$11,20,0)))))</f>
        <v>N/A</v>
      </c>
      <c r="P143" s="105" t="str">
        <f>IF(OR($O143='Auto Responses'!$J$5,$L143='Auto Responses'!$J$5),'Auto Responses'!$J$5,$O143*$L143)</f>
        <v>N/A</v>
      </c>
      <c r="Q143" s="105">
        <f t="shared" si="14"/>
        <v>0</v>
      </c>
      <c r="R143" s="105">
        <f t="shared" si="19"/>
        <v>0</v>
      </c>
      <c r="S143" s="105">
        <f t="shared" si="15"/>
        <v>0</v>
      </c>
      <c r="T143" s="105">
        <f t="shared" si="16"/>
        <v>0</v>
      </c>
      <c r="U143" s="105">
        <f t="shared" si="20"/>
        <v>43</v>
      </c>
      <c r="V143" s="105">
        <f t="shared" si="17"/>
        <v>0</v>
      </c>
    </row>
    <row r="144" spans="1:22" ht="56" x14ac:dyDescent="0.3">
      <c r="A144" s="4" t="str">
        <f>Questions!$A144</f>
        <v>DCTR-10</v>
      </c>
      <c r="B144" s="4" t="str">
        <f t="shared" si="18"/>
        <v>DCTR</v>
      </c>
      <c r="C144" s="4" t="str">
        <f>VLOOKUP($A144,Questions!$A$3:$L$333,2,0)&amp;""</f>
        <v>Are redundant power strategies tested?*</v>
      </c>
      <c r="D144" s="4" t="str">
        <f>VLOOKUP($A144,Questions!$A$3:$L$333,11,0)&amp;""</f>
        <v/>
      </c>
      <c r="E144" s="4" t="str">
        <f>VLOOKUP($A144,Questions!$A$3:$L$333,12,0)&amp;""</f>
        <v>Infrastructure</v>
      </c>
      <c r="F144" s="4" t="str">
        <f>VLOOKUP($A144,'Institution Evaluation'!$A$56:$K$345,3,0)&amp;""</f>
        <v/>
      </c>
      <c r="G144" s="4" t="str">
        <f>VLOOKUP($A144,'Institution Evaluation'!$A$56:$K$345,7,0)&amp;""</f>
        <v>Yes</v>
      </c>
      <c r="H144" s="4" t="str">
        <f>VLOOKUP($A144,'Institution Evaluation'!$A$56:$K$345,8,0)&amp;""</f>
        <v/>
      </c>
      <c r="I144" s="4" t="str">
        <f>VLOOKUP($A144,'Institution Evaluation'!$A$56:$K$345,9,0)&amp;""</f>
        <v>Critical Importance</v>
      </c>
      <c r="J144" s="4" t="str">
        <f>VLOOKUP($A144,'Institution Evaluation'!$A$56:$K$345,10,0)&amp;""</f>
        <v/>
      </c>
      <c r="K144" s="4">
        <f>IF($I144='Auto Responses'!$J$11,20,IF($I144='Auto Responses'!$J$13,5,10))</f>
        <v>20</v>
      </c>
      <c r="L144" s="105" t="str">
        <f>IF(OR($E144='Auto Responses'!$L$13,$F144=""),'Auto Responses'!$J$5,IF(AND($D144='Auto Responses'!$J$27,$H144=""),'Auto Responses'!$J$5,IF(AND($D144='Auto Responses'!$J$27,$H144='Auto Responses'!$J$7),1,IF(AND($D144='Auto Responses'!$J$27,$H144='Auto Responses'!$J$8),0,IF(OR(AND($F144=$G144,$H144=""),$H144='Auto Responses'!$J$7),1,0)))))</f>
        <v>N/A</v>
      </c>
      <c r="M144" s="4" t="str">
        <f>VLOOKUP($A144,'Institution Evaluation'!$A$56:$K$345,11,0)&amp;""</f>
        <v>FALSE</v>
      </c>
      <c r="N144" s="4">
        <f>IF($J144='Auto Responses'!$J$11,1,IF(AND($J144="",$I144='Auto Responses'!$J$11),1,0))</f>
        <v>1</v>
      </c>
      <c r="O144" s="105" t="str">
        <f>IF(OR($F$17='Auto Responses'!$J$4,$E144='Auto Responses'!$L$13,$F144="",$F144='Auto Responses'!$J$5),'Auto Responses'!$J$5,IF($J144="",$K144,IF($J144='Auto Responses'!$J$13,5,IF($J144='Auto Responses'!$J$12,10,IF($J144='Auto Responses'!$J$11,20,0)))))</f>
        <v>N/A</v>
      </c>
      <c r="P144" s="105" t="str">
        <f>IF(OR($O144='Auto Responses'!$J$5,$L144='Auto Responses'!$J$5),'Auto Responses'!$J$5,$O144*$L144)</f>
        <v>N/A</v>
      </c>
      <c r="Q144" s="105">
        <f t="shared" si="14"/>
        <v>0</v>
      </c>
      <c r="R144" s="105">
        <f t="shared" si="19"/>
        <v>0</v>
      </c>
      <c r="S144" s="105">
        <f t="shared" si="15"/>
        <v>0</v>
      </c>
      <c r="T144" s="105">
        <f t="shared" si="16"/>
        <v>1</v>
      </c>
      <c r="U144" s="105">
        <f t="shared" si="20"/>
        <v>44</v>
      </c>
      <c r="V144" s="105">
        <f t="shared" si="17"/>
        <v>44</v>
      </c>
    </row>
    <row r="145" spans="1:22" ht="56" x14ac:dyDescent="0.3">
      <c r="A145" s="4" t="str">
        <f>Questions!$A145</f>
        <v>DCTR-11</v>
      </c>
      <c r="B145" s="4" t="str">
        <f t="shared" si="18"/>
        <v>DCTR</v>
      </c>
      <c r="C145" s="4" t="str">
        <f>VLOOKUP($A145,Questions!$A$3:$L$333,2,0)&amp;""</f>
        <v>Does the center where the data will reside have cooling and fire-suppression systems that are active and regularly tested?</v>
      </c>
      <c r="D145" s="4" t="str">
        <f>VLOOKUP($A145,Questions!$A$3:$L$333,11,0)&amp;""</f>
        <v/>
      </c>
      <c r="E145" s="4" t="str">
        <f>VLOOKUP($A145,Questions!$A$3:$L$333,12,0)&amp;""</f>
        <v>Infrastructure</v>
      </c>
      <c r="F145" s="4" t="str">
        <f>VLOOKUP($A145,'Institution Evaluation'!$A$56:$K$345,3,0)&amp;""</f>
        <v/>
      </c>
      <c r="G145" s="4" t="str">
        <f>VLOOKUP($A145,'Institution Evaluation'!$A$56:$K$345,7,0)&amp;""</f>
        <v>Yes</v>
      </c>
      <c r="H145" s="4" t="str">
        <f>VLOOKUP($A145,'Institution Evaluation'!$A$56:$K$345,8,0)&amp;""</f>
        <v/>
      </c>
      <c r="I145" s="4" t="str">
        <f>VLOOKUP($A145,'Institution Evaluation'!$A$56:$K$345,9,0)&amp;""</f>
        <v>Standard Importance</v>
      </c>
      <c r="J145" s="4" t="str">
        <f>VLOOKUP($A145,'Institution Evaluation'!$A$56:$K$345,10,0)&amp;""</f>
        <v/>
      </c>
      <c r="K145" s="4">
        <f>IF($I145='Auto Responses'!$J$11,20,IF($I145='Auto Responses'!$J$13,5,10))</f>
        <v>10</v>
      </c>
      <c r="L145" s="105" t="str">
        <f>IF(OR($E145='Auto Responses'!$L$13,$F145=""),'Auto Responses'!$J$5,IF(AND($D145='Auto Responses'!$J$27,$H145=""),'Auto Responses'!$J$5,IF(AND($D145='Auto Responses'!$J$27,$H145='Auto Responses'!$J$7),1,IF(AND($D145='Auto Responses'!$J$27,$H145='Auto Responses'!$J$8),0,IF(OR(AND($F145=$G145,$H145=""),$H145='Auto Responses'!$J$7),1,0)))))</f>
        <v>N/A</v>
      </c>
      <c r="M145" s="4" t="str">
        <f>VLOOKUP($A145,'Institution Evaluation'!$A$56:$K$345,11,0)&amp;""</f>
        <v>FALSE</v>
      </c>
      <c r="N145" s="4">
        <f>IF($J145='Auto Responses'!$J$11,1,IF(AND($J145="",$I145='Auto Responses'!$J$11),1,0))</f>
        <v>0</v>
      </c>
      <c r="O145" s="105" t="str">
        <f>IF(OR($F$17='Auto Responses'!$J$4,$E145='Auto Responses'!$L$13,$F145="",$F145='Auto Responses'!$J$5),'Auto Responses'!$J$5,IF($J145="",$K145,IF($J145='Auto Responses'!$J$13,5,IF($J145='Auto Responses'!$J$12,10,IF($J145='Auto Responses'!$J$11,20,0)))))</f>
        <v>N/A</v>
      </c>
      <c r="P145" s="105" t="str">
        <f>IF(OR($O145='Auto Responses'!$J$5,$L145='Auto Responses'!$J$5),'Auto Responses'!$J$5,$O145*$L145)</f>
        <v>N/A</v>
      </c>
      <c r="Q145" s="105">
        <f t="shared" si="14"/>
        <v>0</v>
      </c>
      <c r="R145" s="105">
        <f t="shared" si="19"/>
        <v>0</v>
      </c>
      <c r="S145" s="105">
        <f t="shared" si="15"/>
        <v>0</v>
      </c>
      <c r="T145" s="105">
        <f t="shared" si="16"/>
        <v>0</v>
      </c>
      <c r="U145" s="105">
        <f t="shared" si="20"/>
        <v>44</v>
      </c>
      <c r="V145" s="105">
        <f t="shared" si="17"/>
        <v>0</v>
      </c>
    </row>
    <row r="146" spans="1:22" ht="56" x14ac:dyDescent="0.3">
      <c r="A146" s="4" t="str">
        <f>Questions!$A146</f>
        <v>DCTR-12</v>
      </c>
      <c r="B146" s="4" t="str">
        <f t="shared" si="18"/>
        <v>DCTR</v>
      </c>
      <c r="C146" s="4" t="str">
        <f>VLOOKUP($A146,Questions!$A$3:$L$333,2,0)&amp;""</f>
        <v>Do you have Internet Service Provider (ISP) redundancy?</v>
      </c>
      <c r="D146" s="4" t="str">
        <f>VLOOKUP($A146,Questions!$A$3:$L$333,11,0)&amp;""</f>
        <v/>
      </c>
      <c r="E146" s="4" t="str">
        <f>VLOOKUP($A146,Questions!$A$3:$L$333,12,0)&amp;""</f>
        <v>Infrastructure</v>
      </c>
      <c r="F146" s="4" t="str">
        <f>VLOOKUP($A146,'Institution Evaluation'!$A$56:$K$345,3,0)&amp;""</f>
        <v/>
      </c>
      <c r="G146" s="4" t="str">
        <f>VLOOKUP($A146,'Institution Evaluation'!$A$56:$K$345,7,0)&amp;""</f>
        <v>Yes</v>
      </c>
      <c r="H146" s="4" t="str">
        <f>VLOOKUP($A146,'Institution Evaluation'!$A$56:$K$345,8,0)&amp;""</f>
        <v/>
      </c>
      <c r="I146" s="4" t="str">
        <f>VLOOKUP($A146,'Institution Evaluation'!$A$56:$K$345,9,0)&amp;""</f>
        <v>Standard Importance</v>
      </c>
      <c r="J146" s="4" t="str">
        <f>VLOOKUP($A146,'Institution Evaluation'!$A$56:$K$345,10,0)&amp;""</f>
        <v/>
      </c>
      <c r="K146" s="4">
        <f>IF($I146='Auto Responses'!$J$11,20,IF($I146='Auto Responses'!$J$13,5,10))</f>
        <v>10</v>
      </c>
      <c r="L146" s="105" t="str">
        <f>IF(OR($E146='Auto Responses'!$L$13,$F146=""),'Auto Responses'!$J$5,IF(AND($D146='Auto Responses'!$J$27,$H146=""),'Auto Responses'!$J$5,IF(AND($D146='Auto Responses'!$J$27,$H146='Auto Responses'!$J$7),1,IF(AND($D146='Auto Responses'!$J$27,$H146='Auto Responses'!$J$8),0,IF(OR(AND($F146=$G146,$H146=""),$H146='Auto Responses'!$J$7),1,0)))))</f>
        <v>N/A</v>
      </c>
      <c r="M146" s="4" t="str">
        <f>VLOOKUP($A146,'Institution Evaluation'!$A$56:$K$345,11,0)&amp;""</f>
        <v>FALSE</v>
      </c>
      <c r="N146" s="4">
        <f>IF($J146='Auto Responses'!$J$11,1,IF(AND($J146="",$I146='Auto Responses'!$J$11),1,0))</f>
        <v>0</v>
      </c>
      <c r="O146" s="105" t="str">
        <f>IF(OR($F$17='Auto Responses'!$J$4,$E146='Auto Responses'!$L$13,$F146="",$F146='Auto Responses'!$J$5),'Auto Responses'!$J$5,IF($J146="",$K146,IF($J146='Auto Responses'!$J$13,5,IF($J146='Auto Responses'!$J$12,10,IF($J146='Auto Responses'!$J$11,20,0)))))</f>
        <v>N/A</v>
      </c>
      <c r="P146" s="105" t="str">
        <f>IF(OR($O146='Auto Responses'!$J$5,$L146='Auto Responses'!$J$5),'Auto Responses'!$J$5,$O146*$L146)</f>
        <v>N/A</v>
      </c>
      <c r="Q146" s="105">
        <f t="shared" si="14"/>
        <v>0</v>
      </c>
      <c r="R146" s="105">
        <f t="shared" si="19"/>
        <v>0</v>
      </c>
      <c r="S146" s="105">
        <f t="shared" si="15"/>
        <v>0</v>
      </c>
      <c r="T146" s="105">
        <f t="shared" si="16"/>
        <v>0</v>
      </c>
      <c r="U146" s="105">
        <f t="shared" si="20"/>
        <v>44</v>
      </c>
      <c r="V146" s="105">
        <f t="shared" si="17"/>
        <v>0</v>
      </c>
    </row>
    <row r="147" spans="1:22" ht="56" x14ac:dyDescent="0.3">
      <c r="A147" s="4" t="str">
        <f>Questions!$A147</f>
        <v>DCTR-13</v>
      </c>
      <c r="B147" s="4" t="str">
        <f t="shared" si="18"/>
        <v>DCTR</v>
      </c>
      <c r="C147" s="4" t="str">
        <f>VLOOKUP($A147,Questions!$A$3:$L$333,2,0)&amp;""</f>
        <v>Does every data center where the institution's data will reside have multiple telephone company or network provider entrances to the facility?</v>
      </c>
      <c r="D147" s="4" t="str">
        <f>VLOOKUP($A147,Questions!$A$3:$L$333,11,0)&amp;""</f>
        <v/>
      </c>
      <c r="E147" s="4" t="str">
        <f>VLOOKUP($A147,Questions!$A$3:$L$333,12,0)&amp;""</f>
        <v>Infrastructure</v>
      </c>
      <c r="F147" s="4" t="str">
        <f>VLOOKUP($A147,'Institution Evaluation'!$A$56:$K$345,3,0)&amp;""</f>
        <v/>
      </c>
      <c r="G147" s="4" t="str">
        <f>VLOOKUP($A147,'Institution Evaluation'!$A$56:$K$345,7,0)&amp;""</f>
        <v>Yes</v>
      </c>
      <c r="H147" s="4" t="str">
        <f>VLOOKUP($A147,'Institution Evaluation'!$A$56:$K$345,8,0)&amp;""</f>
        <v/>
      </c>
      <c r="I147" s="4" t="str">
        <f>VLOOKUP($A147,'Institution Evaluation'!$A$56:$K$345,9,0)&amp;""</f>
        <v>Standard Importance</v>
      </c>
      <c r="J147" s="4" t="str">
        <f>VLOOKUP($A147,'Institution Evaluation'!$A$56:$K$345,10,0)&amp;""</f>
        <v/>
      </c>
      <c r="K147" s="4">
        <f>IF($I147='Auto Responses'!$J$11,20,IF($I147='Auto Responses'!$J$13,5,10))</f>
        <v>10</v>
      </c>
      <c r="L147" s="105" t="str">
        <f>IF(OR($E147='Auto Responses'!$L$13,$F147=""),'Auto Responses'!$J$5,IF(AND($D147='Auto Responses'!$J$27,$H147=""),'Auto Responses'!$J$5,IF(AND($D147='Auto Responses'!$J$27,$H147='Auto Responses'!$J$7),1,IF(AND($D147='Auto Responses'!$J$27,$H147='Auto Responses'!$J$8),0,IF(OR(AND($F147=$G147,$H147=""),$H147='Auto Responses'!$J$7),1,0)))))</f>
        <v>N/A</v>
      </c>
      <c r="M147" s="4" t="str">
        <f>VLOOKUP($A147,'Institution Evaluation'!$A$56:$K$345,11,0)&amp;""</f>
        <v>FALSE</v>
      </c>
      <c r="N147" s="4">
        <f>IF($J147='Auto Responses'!$J$11,1,IF(AND($J147="",$I147='Auto Responses'!$J$11),1,0))</f>
        <v>0</v>
      </c>
      <c r="O147" s="105" t="str">
        <f>IF(OR($F$17='Auto Responses'!$J$4,$E147='Auto Responses'!$L$13,$F147="",$F147='Auto Responses'!$J$5),'Auto Responses'!$J$5,IF($J147="",$K147,IF($J147='Auto Responses'!$J$13,5,IF($J147='Auto Responses'!$J$12,10,IF($J147='Auto Responses'!$J$11,20,0)))))</f>
        <v>N/A</v>
      </c>
      <c r="P147" s="105" t="str">
        <f>IF(OR($O147='Auto Responses'!$J$5,$L147='Auto Responses'!$J$5),'Auto Responses'!$J$5,$O147*$L147)</f>
        <v>N/A</v>
      </c>
      <c r="Q147" s="105">
        <f t="shared" si="14"/>
        <v>0</v>
      </c>
      <c r="R147" s="105">
        <f t="shared" si="19"/>
        <v>0</v>
      </c>
      <c r="S147" s="105">
        <f t="shared" si="15"/>
        <v>0</v>
      </c>
      <c r="T147" s="105">
        <f t="shared" si="16"/>
        <v>0</v>
      </c>
      <c r="U147" s="105">
        <f t="shared" si="20"/>
        <v>44</v>
      </c>
      <c r="V147" s="105">
        <f t="shared" si="17"/>
        <v>0</v>
      </c>
    </row>
    <row r="148" spans="1:22" ht="56" x14ac:dyDescent="0.3">
      <c r="A148" s="4" t="str">
        <f>Questions!$A148</f>
        <v>DCTR-14</v>
      </c>
      <c r="B148" s="4" t="str">
        <f t="shared" si="18"/>
        <v>DCTR</v>
      </c>
      <c r="C148" s="4" t="str">
        <f>VLOOKUP($A148,Questions!$A$3:$L$333,2,0)&amp;""</f>
        <v>Do you require multifactor authentication for all administrative accounts in your environment?</v>
      </c>
      <c r="D148" s="4" t="str">
        <f>VLOOKUP($A148,Questions!$A$3:$L$333,11,0)&amp;""</f>
        <v/>
      </c>
      <c r="E148" s="4" t="str">
        <f>VLOOKUP($A148,Questions!$A$3:$L$333,12,0)&amp;""</f>
        <v>Infrastructure</v>
      </c>
      <c r="F148" s="4" t="str">
        <f>VLOOKUP($A148,'Institution Evaluation'!$A$56:$K$345,3,0)&amp;""</f>
        <v>Yes</v>
      </c>
      <c r="G148" s="4" t="str">
        <f>VLOOKUP($A148,'Institution Evaluation'!$A$56:$K$345,7,0)&amp;""</f>
        <v>Yes</v>
      </c>
      <c r="H148" s="4" t="str">
        <f>VLOOKUP($A148,'Institution Evaluation'!$A$56:$K$345,8,0)&amp;""</f>
        <v/>
      </c>
      <c r="I148" s="4" t="str">
        <f>VLOOKUP($A148,'Institution Evaluation'!$A$56:$K$345,9,0)&amp;""</f>
        <v>Standard Importance</v>
      </c>
      <c r="J148" s="4" t="str">
        <f>VLOOKUP($A148,'Institution Evaluation'!$A$56:$K$345,10,0)&amp;""</f>
        <v/>
      </c>
      <c r="K148" s="4">
        <f>IF($I148='Auto Responses'!$J$11,20,IF($I148='Auto Responses'!$J$13,5,10))</f>
        <v>10</v>
      </c>
      <c r="L148" s="105">
        <f>IF(OR($E148='Auto Responses'!$L$13,$F148=""),'Auto Responses'!$J$5,IF(AND($D148='Auto Responses'!$J$27,$H148=""),'Auto Responses'!$J$5,IF(AND($D148='Auto Responses'!$J$27,$H148='Auto Responses'!$J$7),1,IF(AND($D148='Auto Responses'!$J$27,$H148='Auto Responses'!$J$8),0,IF(OR(AND($F148=$G148,$H148=""),$H148='Auto Responses'!$J$7),1,0)))))</f>
        <v>1</v>
      </c>
      <c r="M148" s="4" t="str">
        <f>VLOOKUP($A148,'Institution Evaluation'!$A$56:$K$345,11,0)&amp;""</f>
        <v>FALSE</v>
      </c>
      <c r="N148" s="4">
        <f>IF($J148='Auto Responses'!$J$11,1,IF(AND($J148="",$I148='Auto Responses'!$J$11),1,0))</f>
        <v>0</v>
      </c>
      <c r="O148" s="105">
        <f>IF(OR($F$17='Auto Responses'!$J$4,$E148='Auto Responses'!$L$13,$F148="",$F148='Auto Responses'!$J$5),'Auto Responses'!$J$5,IF($J148="",$K148,IF($J148='Auto Responses'!$J$13,5,IF($J148='Auto Responses'!$J$12,10,IF($J148='Auto Responses'!$J$11,20,0)))))</f>
        <v>10</v>
      </c>
      <c r="P148" s="105">
        <f>IF(OR($O148='Auto Responses'!$J$5,$L148='Auto Responses'!$J$5),'Auto Responses'!$J$5,$O148*$L148)</f>
        <v>10</v>
      </c>
      <c r="Q148" s="105">
        <f t="shared" si="14"/>
        <v>0</v>
      </c>
      <c r="R148" s="105">
        <f t="shared" si="19"/>
        <v>0</v>
      </c>
      <c r="S148" s="105">
        <f t="shared" si="15"/>
        <v>0</v>
      </c>
      <c r="T148" s="105">
        <f t="shared" si="16"/>
        <v>0</v>
      </c>
      <c r="U148" s="105">
        <f t="shared" si="20"/>
        <v>44</v>
      </c>
      <c r="V148" s="105">
        <f t="shared" si="17"/>
        <v>0</v>
      </c>
    </row>
    <row r="149" spans="1:22" ht="56" x14ac:dyDescent="0.3">
      <c r="A149" s="4" t="str">
        <f>Questions!$A149</f>
        <v>DCTR-15</v>
      </c>
      <c r="B149" s="4" t="str">
        <f t="shared" si="18"/>
        <v>DCTR</v>
      </c>
      <c r="C149" s="4" t="str">
        <f>VLOOKUP($A149,Questions!$A$3:$L$333,2,0)&amp;""</f>
        <v>Are you using your cloud provider's available hardening tools or pre-hardened images?</v>
      </c>
      <c r="D149" s="4" t="str">
        <f>VLOOKUP($A149,Questions!$A$3:$L$333,11,0)&amp;""</f>
        <v/>
      </c>
      <c r="E149" s="4" t="str">
        <f>VLOOKUP($A149,Questions!$A$3:$L$333,12,0)&amp;""</f>
        <v>Infrastructure</v>
      </c>
      <c r="F149" s="4" t="str">
        <f>VLOOKUP($A149,'Institution Evaluation'!$A$56:$K$345,3,0)&amp;""</f>
        <v>No</v>
      </c>
      <c r="G149" s="4" t="str">
        <f>VLOOKUP($A149,'Institution Evaluation'!$A$56:$K$345,7,0)&amp;""</f>
        <v>Yes</v>
      </c>
      <c r="H149" s="4" t="str">
        <f>VLOOKUP($A149,'Institution Evaluation'!$A$56:$K$345,8,0)&amp;""</f>
        <v/>
      </c>
      <c r="I149" s="4" t="str">
        <f>VLOOKUP($A149,'Institution Evaluation'!$A$56:$K$345,9,0)&amp;""</f>
        <v>Standard Importance</v>
      </c>
      <c r="J149" s="4" t="str">
        <f>VLOOKUP($A149,'Institution Evaluation'!$A$56:$K$345,10,0)&amp;""</f>
        <v/>
      </c>
      <c r="K149" s="4">
        <f>IF($I149='Auto Responses'!$J$11,20,IF($I149='Auto Responses'!$J$13,5,10))</f>
        <v>10</v>
      </c>
      <c r="L149" s="105">
        <f>IF(OR($E149='Auto Responses'!$L$13,$F149=""),'Auto Responses'!$J$5,IF(AND($D149='Auto Responses'!$J$27,$H149=""),'Auto Responses'!$J$5,IF(AND($D149='Auto Responses'!$J$27,$H149='Auto Responses'!$J$7),1,IF(AND($D149='Auto Responses'!$J$27,$H149='Auto Responses'!$J$8),0,IF(OR(AND($F149=$G149,$H149=""),$H149='Auto Responses'!$J$7),1,0)))))</f>
        <v>0</v>
      </c>
      <c r="M149" s="4" t="str">
        <f>VLOOKUP($A149,'Institution Evaluation'!$A$56:$K$345,11,0)&amp;""</f>
        <v>FALSE</v>
      </c>
      <c r="N149" s="4">
        <f>IF($J149='Auto Responses'!$J$11,1,IF(AND($J149="",$I149='Auto Responses'!$J$11),1,0))</f>
        <v>0</v>
      </c>
      <c r="O149" s="105">
        <f>IF(OR($F$17='Auto Responses'!$J$4,$E149='Auto Responses'!$L$13,$F149="",$F149='Auto Responses'!$J$5),'Auto Responses'!$J$5,IF($J149="",$K149,IF($J149='Auto Responses'!$J$13,5,IF($J149='Auto Responses'!$J$12,10,IF($J149='Auto Responses'!$J$11,20,0)))))</f>
        <v>10</v>
      </c>
      <c r="P149" s="105">
        <f>IF(OR($O149='Auto Responses'!$J$5,$L149='Auto Responses'!$J$5),'Auto Responses'!$J$5,$O149*$L149)</f>
        <v>0</v>
      </c>
      <c r="Q149" s="105">
        <f t="shared" si="14"/>
        <v>0</v>
      </c>
      <c r="R149" s="105">
        <f t="shared" si="19"/>
        <v>0</v>
      </c>
      <c r="S149" s="105">
        <f t="shared" si="15"/>
        <v>0</v>
      </c>
      <c r="T149" s="105">
        <f t="shared" si="16"/>
        <v>0</v>
      </c>
      <c r="U149" s="105">
        <f t="shared" si="20"/>
        <v>44</v>
      </c>
      <c r="V149" s="105">
        <f t="shared" si="17"/>
        <v>0</v>
      </c>
    </row>
    <row r="150" spans="1:22" ht="56" x14ac:dyDescent="0.3">
      <c r="A150" s="4" t="str">
        <f>Questions!$A150</f>
        <v>DCTR-16</v>
      </c>
      <c r="B150" s="4" t="str">
        <f t="shared" si="18"/>
        <v>DCTR</v>
      </c>
      <c r="C150" s="4" t="str">
        <f>VLOOKUP($A150,Questions!$A$3:$L$333,2,0)&amp;""</f>
        <v>Does your cloud solution provider have access to your encryption keys?</v>
      </c>
      <c r="D150" s="4" t="str">
        <f>VLOOKUP($A150,Questions!$A$3:$L$333,11,0)&amp;""</f>
        <v/>
      </c>
      <c r="E150" s="4" t="str">
        <f>VLOOKUP($A150,Questions!$A$3:$L$333,12,0)&amp;""</f>
        <v>Infrastructure</v>
      </c>
      <c r="F150" s="4" t="str">
        <f>VLOOKUP($A150,'Institution Evaluation'!$A$56:$K$345,3,0)&amp;""</f>
        <v>Yes</v>
      </c>
      <c r="G150" s="4" t="str">
        <f>VLOOKUP($A150,'Institution Evaluation'!$A$56:$K$345,7,0)&amp;""</f>
        <v>No</v>
      </c>
      <c r="H150" s="4" t="str">
        <f>VLOOKUP($A150,'Institution Evaluation'!$A$56:$K$345,8,0)&amp;""</f>
        <v/>
      </c>
      <c r="I150" s="4" t="str">
        <f>VLOOKUP($A150,'Institution Evaluation'!$A$56:$K$345,9,0)&amp;""</f>
        <v>Standard Importance</v>
      </c>
      <c r="J150" s="4" t="str">
        <f>VLOOKUP($A150,'Institution Evaluation'!$A$56:$K$345,10,0)&amp;""</f>
        <v/>
      </c>
      <c r="K150" s="4">
        <f>IF($I150='Auto Responses'!$J$11,20,IF($I150='Auto Responses'!$J$13,5,10))</f>
        <v>10</v>
      </c>
      <c r="L150" s="105">
        <f>IF(OR($E150='Auto Responses'!$L$13,$F150=""),'Auto Responses'!$J$5,IF(AND($D150='Auto Responses'!$J$27,$H150=""),'Auto Responses'!$J$5,IF(AND($D150='Auto Responses'!$J$27,$H150='Auto Responses'!$J$7),1,IF(AND($D150='Auto Responses'!$J$27,$H150='Auto Responses'!$J$8),0,IF(OR(AND($F150=$G150,$H150=""),$H150='Auto Responses'!$J$7),1,0)))))</f>
        <v>0</v>
      </c>
      <c r="M150" s="4" t="str">
        <f>VLOOKUP($A150,'Institution Evaluation'!$A$56:$K$345,11,0)&amp;""</f>
        <v>FALSE</v>
      </c>
      <c r="N150" s="4">
        <f>IF($J150='Auto Responses'!$J$11,1,IF(AND($J150="",$I150='Auto Responses'!$J$11),1,0))</f>
        <v>0</v>
      </c>
      <c r="O150" s="105">
        <f>IF(OR($F$17='Auto Responses'!$J$4,$E150='Auto Responses'!$L$13,$F150="",$F150='Auto Responses'!$J$5),'Auto Responses'!$J$5,IF($J150="",$K150,IF($J150='Auto Responses'!$J$13,5,IF($J150='Auto Responses'!$J$12,10,IF($J150='Auto Responses'!$J$11,20,0)))))</f>
        <v>10</v>
      </c>
      <c r="P150" s="105">
        <f>IF(OR($O150='Auto Responses'!$J$5,$L150='Auto Responses'!$J$5),'Auto Responses'!$J$5,$O150*$L150)</f>
        <v>0</v>
      </c>
      <c r="Q150" s="105">
        <f t="shared" si="14"/>
        <v>0</v>
      </c>
      <c r="R150" s="105">
        <f t="shared" si="19"/>
        <v>0</v>
      </c>
      <c r="S150" s="105">
        <f t="shared" si="15"/>
        <v>0</v>
      </c>
      <c r="T150" s="105">
        <f t="shared" si="16"/>
        <v>0</v>
      </c>
      <c r="U150" s="105">
        <f t="shared" si="20"/>
        <v>44</v>
      </c>
      <c r="V150" s="105">
        <f t="shared" si="17"/>
        <v>0</v>
      </c>
    </row>
    <row r="151" spans="1:22" ht="56" x14ac:dyDescent="0.3">
      <c r="A151" s="4" t="str">
        <f>Questions!$A151</f>
        <v>FIDP-01</v>
      </c>
      <c r="B151" s="4" t="str">
        <f t="shared" si="18"/>
        <v>FIDP</v>
      </c>
      <c r="C151" s="4" t="str">
        <f>VLOOKUP($A151,Questions!$A$3:$L$333,2,0)&amp;""</f>
        <v>Are you utilizing a stateful packet inspection (SPI) firewall?*</v>
      </c>
      <c r="D151" s="4" t="str">
        <f>VLOOKUP($A151,Questions!$A$3:$L$333,11,0)&amp;""</f>
        <v/>
      </c>
      <c r="E151" s="4" t="str">
        <f>VLOOKUP($A151,Questions!$A$3:$L$333,12,0)&amp;""</f>
        <v>Infrastructure</v>
      </c>
      <c r="F151" s="4" t="str">
        <f>VLOOKUP($A151,'Institution Evaluation'!$A$56:$K$345,3,0)&amp;""</f>
        <v>Yes</v>
      </c>
      <c r="G151" s="4" t="str">
        <f>VLOOKUP($A151,'Institution Evaluation'!$A$56:$K$345,7,0)&amp;""</f>
        <v>Yes</v>
      </c>
      <c r="H151" s="4" t="str">
        <f>VLOOKUP($A151,'Institution Evaluation'!$A$56:$K$345,8,0)&amp;""</f>
        <v/>
      </c>
      <c r="I151" s="4" t="str">
        <f>VLOOKUP($A151,'Institution Evaluation'!$A$56:$K$345,9,0)&amp;""</f>
        <v>Critical Importance</v>
      </c>
      <c r="J151" s="4" t="str">
        <f>VLOOKUP($A151,'Institution Evaluation'!$A$56:$K$345,10,0)&amp;""</f>
        <v/>
      </c>
      <c r="K151" s="4">
        <f>IF($I151='Auto Responses'!$J$11,20,IF($I151='Auto Responses'!$J$13,5,10))</f>
        <v>20</v>
      </c>
      <c r="L151" s="105">
        <f>IF($E151='Auto Responses'!$L$13, 'Auto Responses'!$J$5,IF(AND($D151='Auto Responses'!$J$27,$H151=""),'Auto Responses'!$J$5,IF(AND($D151='Auto Responses'!$J$27,$H151='Auto Responses'!$J$7),1,IF(AND($D151='Auto Responses'!$J$27,$H151='Auto Responses'!$J$8),0,IF(OR(AND($F151=$G151,$H151=""),$H151='Auto Responses'!$J$7),1,0)))))</f>
        <v>1</v>
      </c>
      <c r="M151" s="4" t="str">
        <f>VLOOKUP($A151,'Institution Evaluation'!$A$56:$K$345,11,0)&amp;""</f>
        <v>FALSE</v>
      </c>
      <c r="N151" s="4">
        <f>IF($J151='Auto Responses'!$J$11,1,IF(AND($J151="",$I151='Auto Responses'!$J$11),1,0))</f>
        <v>1</v>
      </c>
      <c r="O151" s="105">
        <f>IF(OR($F$17='Auto Responses'!$J$4,$E151='Auto Responses'!$L$13,$F151='Auto Responses'!$J$5),'Auto Responses'!$J$5,IF($J151="",$K151,IF($J151='Auto Responses'!$J$13,5,IF($J151='Auto Responses'!$J$12,10,IF($J151='Auto Responses'!$J$11,20,0)))))</f>
        <v>20</v>
      </c>
      <c r="P151" s="105">
        <f>IF(OR($O151='Auto Responses'!$J$5,$L151='Auto Responses'!$J$5),'Auto Responses'!$J$5,$O151*$L151)</f>
        <v>20</v>
      </c>
      <c r="Q151" s="105">
        <f t="shared" si="14"/>
        <v>0</v>
      </c>
      <c r="R151" s="105">
        <f t="shared" si="19"/>
        <v>0</v>
      </c>
      <c r="S151" s="105">
        <f t="shared" si="15"/>
        <v>0</v>
      </c>
      <c r="T151" s="105">
        <f t="shared" si="16"/>
        <v>1</v>
      </c>
      <c r="U151" s="105">
        <f t="shared" si="20"/>
        <v>45</v>
      </c>
      <c r="V151" s="105">
        <f t="shared" si="17"/>
        <v>45</v>
      </c>
    </row>
    <row r="152" spans="1:22" ht="56" x14ac:dyDescent="0.3">
      <c r="A152" s="4" t="str">
        <f>Questions!$A152</f>
        <v>FIDP-02</v>
      </c>
      <c r="B152" s="4" t="str">
        <f t="shared" si="18"/>
        <v>FIDP</v>
      </c>
      <c r="C152" s="4" t="str">
        <f>VLOOKUP($A152,Questions!$A$3:$L$333,2,0)&amp;""</f>
        <v>Do you have a documented policy for firewall change requests?*</v>
      </c>
      <c r="D152" s="4" t="str">
        <f>VLOOKUP($A152,Questions!$A$3:$L$333,11,0)&amp;""</f>
        <v/>
      </c>
      <c r="E152" s="4" t="str">
        <f>VLOOKUP($A152,Questions!$A$3:$L$333,12,0)&amp;""</f>
        <v>Infrastructure</v>
      </c>
      <c r="F152" s="4" t="str">
        <f>VLOOKUP($A152,'Institution Evaluation'!$A$56:$K$345,3,0)&amp;""</f>
        <v>Yes</v>
      </c>
      <c r="G152" s="4" t="str">
        <f>VLOOKUP($A152,'Institution Evaluation'!$A$56:$K$345,7,0)&amp;""</f>
        <v>Yes</v>
      </c>
      <c r="H152" s="4" t="str">
        <f>VLOOKUP($A152,'Institution Evaluation'!$A$56:$K$345,8,0)&amp;""</f>
        <v/>
      </c>
      <c r="I152" s="4" t="str">
        <f>VLOOKUP($A152,'Institution Evaluation'!$A$56:$K$345,9,0)&amp;""</f>
        <v>Critical Importance</v>
      </c>
      <c r="J152" s="4" t="str">
        <f>VLOOKUP($A152,'Institution Evaluation'!$A$56:$K$345,10,0)&amp;""</f>
        <v/>
      </c>
      <c r="K152" s="4">
        <f>IF($I152='Auto Responses'!$J$11,20,IF($I152='Auto Responses'!$J$13,5,10))</f>
        <v>20</v>
      </c>
      <c r="L152" s="105">
        <f>IF($E152='Auto Responses'!$L$13, 'Auto Responses'!$J$5,IF(AND($D152='Auto Responses'!$J$27,$H152=""),'Auto Responses'!$J$5,IF(AND($D152='Auto Responses'!$J$27,$H152='Auto Responses'!$J$7),1,IF(AND($D152='Auto Responses'!$J$27,$H152='Auto Responses'!$J$8),0,IF(OR(AND($F152=$G152,$H152=""),$H152='Auto Responses'!$J$7),1,0)))))</f>
        <v>1</v>
      </c>
      <c r="M152" s="4" t="str">
        <f>VLOOKUP($A152,'Institution Evaluation'!$A$56:$K$345,11,0)&amp;""</f>
        <v>FALSE</v>
      </c>
      <c r="N152" s="4">
        <f>IF($J152='Auto Responses'!$J$11,1,IF(AND($J152="",$I152='Auto Responses'!$J$11),1,0))</f>
        <v>1</v>
      </c>
      <c r="O152" s="105">
        <f>IF(OR($F$17='Auto Responses'!$J$4,$E152='Auto Responses'!$L$13,$F152='Auto Responses'!$J$5),'Auto Responses'!$J$5,IF($J152="",$K152,IF($J152='Auto Responses'!$J$13,5,IF($J152='Auto Responses'!$J$12,10,IF($J152='Auto Responses'!$J$11,20,0)))))</f>
        <v>20</v>
      </c>
      <c r="P152" s="105">
        <f>IF(OR($O152='Auto Responses'!$J$5,$L152='Auto Responses'!$J$5),'Auto Responses'!$J$5,$O152*$L152)</f>
        <v>20</v>
      </c>
      <c r="Q152" s="105">
        <f t="shared" si="14"/>
        <v>0</v>
      </c>
      <c r="R152" s="105">
        <f t="shared" si="19"/>
        <v>0</v>
      </c>
      <c r="S152" s="105">
        <f t="shared" si="15"/>
        <v>0</v>
      </c>
      <c r="T152" s="105">
        <f t="shared" si="16"/>
        <v>1</v>
      </c>
      <c r="U152" s="105">
        <f t="shared" si="20"/>
        <v>46</v>
      </c>
      <c r="V152" s="105">
        <f t="shared" si="17"/>
        <v>46</v>
      </c>
    </row>
    <row r="153" spans="1:22" ht="56" x14ac:dyDescent="0.3">
      <c r="A153" s="4" t="str">
        <f>Questions!$A153</f>
        <v>FIDP-03</v>
      </c>
      <c r="B153" s="4" t="str">
        <f t="shared" si="18"/>
        <v>FIDP</v>
      </c>
      <c r="C153" s="4" t="str">
        <f>VLOOKUP($A153,Questions!$A$3:$L$333,2,0)&amp;""</f>
        <v>Have you implemented an intrusion detection system (network-based)?*</v>
      </c>
      <c r="D153" s="4" t="str">
        <f>VLOOKUP($A153,Questions!$A$3:$L$333,11,0)&amp;""</f>
        <v/>
      </c>
      <c r="E153" s="4" t="str">
        <f>VLOOKUP($A153,Questions!$A$3:$L$333,12,0)&amp;""</f>
        <v>Infrastructure</v>
      </c>
      <c r="F153" s="4" t="str">
        <f>VLOOKUP($A153,'Institution Evaluation'!$A$56:$K$345,3,0)&amp;""</f>
        <v>Yes</v>
      </c>
      <c r="G153" s="4" t="str">
        <f>VLOOKUP($A153,'Institution Evaluation'!$A$56:$K$345,7,0)&amp;""</f>
        <v>Yes</v>
      </c>
      <c r="H153" s="4" t="str">
        <f>VLOOKUP($A153,'Institution Evaluation'!$A$56:$K$345,8,0)&amp;""</f>
        <v/>
      </c>
      <c r="I153" s="4" t="str">
        <f>VLOOKUP($A153,'Institution Evaluation'!$A$56:$K$345,9,0)&amp;""</f>
        <v>Critical Importance</v>
      </c>
      <c r="J153" s="4" t="str">
        <f>VLOOKUP($A153,'Institution Evaluation'!$A$56:$K$345,10,0)&amp;""</f>
        <v/>
      </c>
      <c r="K153" s="4">
        <f>IF($I153='Auto Responses'!$J$11,20,IF($I153='Auto Responses'!$J$13,5,10))</f>
        <v>20</v>
      </c>
      <c r="L153" s="105">
        <f>IF($E153='Auto Responses'!$L$13, 'Auto Responses'!$J$5,IF(AND($D153='Auto Responses'!$J$27,$H153=""),'Auto Responses'!$J$5,IF(AND($D153='Auto Responses'!$J$27,$H153='Auto Responses'!$J$7),1,IF(AND($D153='Auto Responses'!$J$27,$H153='Auto Responses'!$J$8),0,IF(OR(AND($F153=$G153,$H153=""),$H153='Auto Responses'!$J$7),1,0)))))</f>
        <v>1</v>
      </c>
      <c r="M153" s="4" t="str">
        <f>VLOOKUP($A153,'Institution Evaluation'!$A$56:$K$345,11,0)&amp;""</f>
        <v>FALSE</v>
      </c>
      <c r="N153" s="4">
        <f>IF($J153='Auto Responses'!$J$11,1,IF(AND($J153="",$I153='Auto Responses'!$J$11),1,0))</f>
        <v>1</v>
      </c>
      <c r="O153" s="105">
        <f>IF(OR($F$17='Auto Responses'!$J$4,$E153='Auto Responses'!$L$13,$F153='Auto Responses'!$J$5),'Auto Responses'!$J$5,IF($J153="",$K153,IF($J153='Auto Responses'!$J$13,5,IF($J153='Auto Responses'!$J$12,10,IF($J153='Auto Responses'!$J$11,20,0)))))</f>
        <v>20</v>
      </c>
      <c r="P153" s="105">
        <f>IF(OR($O153='Auto Responses'!$J$5,$L153='Auto Responses'!$J$5),'Auto Responses'!$J$5,$O153*$L153)</f>
        <v>20</v>
      </c>
      <c r="Q153" s="105">
        <f t="shared" si="14"/>
        <v>0</v>
      </c>
      <c r="R153" s="105">
        <f t="shared" si="19"/>
        <v>0</v>
      </c>
      <c r="S153" s="105">
        <f t="shared" si="15"/>
        <v>0</v>
      </c>
      <c r="T153" s="105">
        <f t="shared" si="16"/>
        <v>1</v>
      </c>
      <c r="U153" s="105">
        <f t="shared" si="20"/>
        <v>47</v>
      </c>
      <c r="V153" s="105">
        <f t="shared" si="17"/>
        <v>47</v>
      </c>
    </row>
    <row r="154" spans="1:22" ht="56" x14ac:dyDescent="0.3">
      <c r="A154" s="4" t="str">
        <f>Questions!$A154</f>
        <v>FIDP-04</v>
      </c>
      <c r="B154" s="4" t="str">
        <f t="shared" si="18"/>
        <v>FIDP</v>
      </c>
      <c r="C154" s="4" t="str">
        <f>VLOOKUP($A154,Questions!$A$3:$L$333,2,0)&amp;""</f>
        <v>Do you employ host-based intrusion detection?*</v>
      </c>
      <c r="D154" s="4" t="str">
        <f>VLOOKUP($A154,Questions!$A$3:$L$333,11,0)&amp;""</f>
        <v/>
      </c>
      <c r="E154" s="4" t="str">
        <f>VLOOKUP($A154,Questions!$A$3:$L$333,12,0)&amp;""</f>
        <v>Infrastructure</v>
      </c>
      <c r="F154" s="4" t="str">
        <f>VLOOKUP($A154,'Institution Evaluation'!$A$56:$K$345,3,0)&amp;""</f>
        <v>Yes</v>
      </c>
      <c r="G154" s="4" t="str">
        <f>VLOOKUP($A154,'Institution Evaluation'!$A$56:$K$345,7,0)&amp;""</f>
        <v>Yes</v>
      </c>
      <c r="H154" s="4" t="str">
        <f>VLOOKUP($A154,'Institution Evaluation'!$A$56:$K$345,8,0)&amp;""</f>
        <v/>
      </c>
      <c r="I154" s="4" t="str">
        <f>VLOOKUP($A154,'Institution Evaluation'!$A$56:$K$345,9,0)&amp;""</f>
        <v>Critical Importance</v>
      </c>
      <c r="J154" s="4" t="str">
        <f>VLOOKUP($A154,'Institution Evaluation'!$A$56:$K$345,10,0)&amp;""</f>
        <v/>
      </c>
      <c r="K154" s="4">
        <f>IF($I154='Auto Responses'!$J$11,20,IF($I154='Auto Responses'!$J$13,5,10))</f>
        <v>20</v>
      </c>
      <c r="L154" s="105">
        <f>IF($E154='Auto Responses'!$L$13, 'Auto Responses'!$J$5,IF(AND($D154='Auto Responses'!$J$27,$H154=""),'Auto Responses'!$J$5,IF(AND($D154='Auto Responses'!$J$27,$H154='Auto Responses'!$J$7),1,IF(AND($D154='Auto Responses'!$J$27,$H154='Auto Responses'!$J$8),0,IF(OR(AND($F154=$G154,$H154=""),$H154='Auto Responses'!$J$7),1,0)))))</f>
        <v>1</v>
      </c>
      <c r="M154" s="4" t="str">
        <f>VLOOKUP($A154,'Institution Evaluation'!$A$56:$K$345,11,0)&amp;""</f>
        <v>FALSE</v>
      </c>
      <c r="N154" s="4">
        <f>IF($J154='Auto Responses'!$J$11,1,IF(AND($J154="",$I154='Auto Responses'!$J$11),1,0))</f>
        <v>1</v>
      </c>
      <c r="O154" s="105">
        <f>IF(OR($F$17='Auto Responses'!$J$4,$E154='Auto Responses'!$L$13,$F154='Auto Responses'!$J$5),'Auto Responses'!$J$5,IF($J154="",$K154,IF($J154='Auto Responses'!$J$13,5,IF($J154='Auto Responses'!$J$12,10,IF($J154='Auto Responses'!$J$11,20,0)))))</f>
        <v>20</v>
      </c>
      <c r="P154" s="105">
        <f>IF(OR($O154='Auto Responses'!$J$5,$L154='Auto Responses'!$J$5),'Auto Responses'!$J$5,$O154*$L154)</f>
        <v>20</v>
      </c>
      <c r="Q154" s="105">
        <f t="shared" si="14"/>
        <v>0</v>
      </c>
      <c r="R154" s="105">
        <f t="shared" si="19"/>
        <v>0</v>
      </c>
      <c r="S154" s="105">
        <f t="shared" si="15"/>
        <v>0</v>
      </c>
      <c r="T154" s="105">
        <f t="shared" si="16"/>
        <v>1</v>
      </c>
      <c r="U154" s="105">
        <f t="shared" si="20"/>
        <v>48</v>
      </c>
      <c r="V154" s="105">
        <f t="shared" si="17"/>
        <v>48</v>
      </c>
    </row>
    <row r="155" spans="1:22" ht="56" x14ac:dyDescent="0.3">
      <c r="A155" s="4" t="str">
        <f>Questions!$A155</f>
        <v>FIDP-05</v>
      </c>
      <c r="B155" s="4" t="str">
        <f t="shared" si="18"/>
        <v>FIDP</v>
      </c>
      <c r="C155" s="4" t="str">
        <f>VLOOKUP($A155,Questions!$A$3:$L$333,2,0)&amp;""</f>
        <v>Are audit logs available for all changes to the network, firewall, IDS, and IPS systems?*</v>
      </c>
      <c r="D155" s="4" t="str">
        <f>VLOOKUP($A155,Questions!$A$3:$L$333,11,0)&amp;""</f>
        <v/>
      </c>
      <c r="E155" s="4" t="str">
        <f>VLOOKUP($A155,Questions!$A$3:$L$333,12,0)&amp;""</f>
        <v>Infrastructure</v>
      </c>
      <c r="F155" s="4" t="str">
        <f>VLOOKUP($A155,'Institution Evaluation'!$A$56:$K$345,3,0)&amp;""</f>
        <v>Yes</v>
      </c>
      <c r="G155" s="4" t="str">
        <f>VLOOKUP($A155,'Institution Evaluation'!$A$56:$K$345,7,0)&amp;""</f>
        <v>Yes</v>
      </c>
      <c r="H155" s="4" t="str">
        <f>VLOOKUP($A155,'Institution Evaluation'!$A$56:$K$345,8,0)&amp;""</f>
        <v/>
      </c>
      <c r="I155" s="4" t="str">
        <f>VLOOKUP($A155,'Institution Evaluation'!$A$56:$K$345,9,0)&amp;""</f>
        <v>Critical Importance</v>
      </c>
      <c r="J155" s="4" t="str">
        <f>VLOOKUP($A155,'Institution Evaluation'!$A$56:$K$345,10,0)&amp;""</f>
        <v/>
      </c>
      <c r="K155" s="4">
        <f>IF($I155='Auto Responses'!$J$11,20,IF($I155='Auto Responses'!$J$13,5,10))</f>
        <v>20</v>
      </c>
      <c r="L155" s="105">
        <f>IF($E155='Auto Responses'!$L$13, 'Auto Responses'!$J$5,IF(AND($D155='Auto Responses'!$J$27,$H155=""),'Auto Responses'!$J$5,IF(AND($D155='Auto Responses'!$J$27,$H155='Auto Responses'!$J$7),1,IF(AND($D155='Auto Responses'!$J$27,$H155='Auto Responses'!$J$8),0,IF(OR(AND($F155=$G155,$H155=""),$H155='Auto Responses'!$J$7),1,0)))))</f>
        <v>1</v>
      </c>
      <c r="M155" s="4" t="str">
        <f>VLOOKUP($A155,'Institution Evaluation'!$A$56:$K$345,11,0)&amp;""</f>
        <v>FALSE</v>
      </c>
      <c r="N155" s="4">
        <f>IF($J155='Auto Responses'!$J$11,1,IF(AND($J155="",$I155='Auto Responses'!$J$11),1,0))</f>
        <v>1</v>
      </c>
      <c r="O155" s="105">
        <f>IF(OR($F$17='Auto Responses'!$J$4,$E155='Auto Responses'!$L$13,$F155='Auto Responses'!$J$5),'Auto Responses'!$J$5,IF($J155="",$K155,IF($J155='Auto Responses'!$J$13,5,IF($J155='Auto Responses'!$J$12,10,IF($J155='Auto Responses'!$J$11,20,0)))))</f>
        <v>20</v>
      </c>
      <c r="P155" s="105">
        <f>IF(OR($O155='Auto Responses'!$J$5,$L155='Auto Responses'!$J$5),'Auto Responses'!$J$5,$O155*$L155)</f>
        <v>20</v>
      </c>
      <c r="Q155" s="105">
        <f t="shared" si="14"/>
        <v>0</v>
      </c>
      <c r="R155" s="105">
        <f t="shared" si="19"/>
        <v>0</v>
      </c>
      <c r="S155" s="105">
        <f t="shared" si="15"/>
        <v>0</v>
      </c>
      <c r="T155" s="105">
        <f t="shared" si="16"/>
        <v>1</v>
      </c>
      <c r="U155" s="105">
        <f t="shared" si="20"/>
        <v>49</v>
      </c>
      <c r="V155" s="105">
        <f t="shared" si="17"/>
        <v>49</v>
      </c>
    </row>
    <row r="156" spans="1:22" ht="56" x14ac:dyDescent="0.3">
      <c r="A156" s="4" t="str">
        <f>Questions!$A156</f>
        <v>FIDP-06</v>
      </c>
      <c r="B156" s="4" t="str">
        <f t="shared" si="18"/>
        <v>FIDP</v>
      </c>
      <c r="C156" s="4" t="str">
        <f>VLOOKUP($A156,Questions!$A$3:$L$333,2,0)&amp;""</f>
        <v>Is authority for firewall change approval documented? Please list approver names or titles in Additional Info.</v>
      </c>
      <c r="D156" s="4" t="str">
        <f>VLOOKUP($A156,Questions!$A$3:$L$333,11,0)&amp;""</f>
        <v/>
      </c>
      <c r="E156" s="4" t="str">
        <f>VLOOKUP($A156,Questions!$A$3:$L$333,12,0)&amp;""</f>
        <v>Infrastructure</v>
      </c>
      <c r="F156" s="4" t="str">
        <f>VLOOKUP($A156,'Institution Evaluation'!$A$56:$K$345,3,0)&amp;""</f>
        <v>Yes</v>
      </c>
      <c r="G156" s="4" t="str">
        <f>VLOOKUP($A156,'Institution Evaluation'!$A$56:$K$345,7,0)&amp;""</f>
        <v>Yes</v>
      </c>
      <c r="H156" s="4" t="str">
        <f>VLOOKUP($A156,'Institution Evaluation'!$A$56:$K$345,8,0)&amp;""</f>
        <v/>
      </c>
      <c r="I156" s="4" t="str">
        <f>VLOOKUP($A156,'Institution Evaluation'!$A$56:$K$345,9,0)&amp;""</f>
        <v>Standard Importance</v>
      </c>
      <c r="J156" s="4" t="str">
        <f>VLOOKUP($A156,'Institution Evaluation'!$A$56:$K$345,10,0)&amp;""</f>
        <v/>
      </c>
      <c r="K156" s="4">
        <f>IF($I156='Auto Responses'!$J$11,20,IF($I156='Auto Responses'!$J$13,5,10))</f>
        <v>10</v>
      </c>
      <c r="L156" s="105">
        <f>IF($E156='Auto Responses'!$L$13, 'Auto Responses'!$J$5,IF(AND($D156='Auto Responses'!$J$27,$H156=""),'Auto Responses'!$J$5,IF(AND($D156='Auto Responses'!$J$27,$H156='Auto Responses'!$J$7),1,IF(AND($D156='Auto Responses'!$J$27,$H156='Auto Responses'!$J$8),0,IF(OR(AND($F156=$G156,$H156=""),$H156='Auto Responses'!$J$7),1,0)))))</f>
        <v>1</v>
      </c>
      <c r="M156" s="4" t="str">
        <f>VLOOKUP($A156,'Institution Evaluation'!$A$56:$K$345,11,0)&amp;""</f>
        <v>FALSE</v>
      </c>
      <c r="N156" s="4">
        <f>IF($J156='Auto Responses'!$J$11,1,IF(AND($J156="",$I156='Auto Responses'!$J$11),1,0))</f>
        <v>0</v>
      </c>
      <c r="O156" s="105">
        <f>IF(OR($F$17='Auto Responses'!$J$4,$E156='Auto Responses'!$L$13,$F156='Auto Responses'!$J$5),'Auto Responses'!$J$5,IF($J156="",$K156,IF($J156='Auto Responses'!$J$13,5,IF($J156='Auto Responses'!$J$12,10,IF($J156='Auto Responses'!$J$11,20,0)))))</f>
        <v>10</v>
      </c>
      <c r="P156" s="105">
        <f>IF(OR($O156='Auto Responses'!$J$5,$L156='Auto Responses'!$J$5),'Auto Responses'!$J$5,$O156*$L156)</f>
        <v>10</v>
      </c>
      <c r="Q156" s="105">
        <f t="shared" si="14"/>
        <v>0</v>
      </c>
      <c r="R156" s="105">
        <f t="shared" si="19"/>
        <v>0</v>
      </c>
      <c r="S156" s="105">
        <f t="shared" si="15"/>
        <v>0</v>
      </c>
      <c r="T156" s="105">
        <f t="shared" si="16"/>
        <v>0</v>
      </c>
      <c r="U156" s="105">
        <f t="shared" si="20"/>
        <v>49</v>
      </c>
      <c r="V156" s="105">
        <f t="shared" si="17"/>
        <v>0</v>
      </c>
    </row>
    <row r="157" spans="1:22" ht="56" x14ac:dyDescent="0.3">
      <c r="A157" s="4" t="str">
        <f>Questions!$A157</f>
        <v>FIDP-07</v>
      </c>
      <c r="B157" s="4" t="str">
        <f t="shared" si="18"/>
        <v>FIDP</v>
      </c>
      <c r="C157" s="4" t="str">
        <f>VLOOKUP($A157,Questions!$A$3:$L$333,2,0)&amp;""</f>
        <v>Have you implemented an intrusion prevention system (network-based)?</v>
      </c>
      <c r="D157" s="4" t="str">
        <f>VLOOKUP($A157,Questions!$A$3:$L$333,11,0)&amp;""</f>
        <v/>
      </c>
      <c r="E157" s="4" t="str">
        <f>VLOOKUP($A157,Questions!$A$3:$L$333,12,0)&amp;""</f>
        <v>Infrastructure</v>
      </c>
      <c r="F157" s="4" t="str">
        <f>VLOOKUP($A157,'Institution Evaluation'!$A$56:$K$345,3,0)&amp;""</f>
        <v>Yes</v>
      </c>
      <c r="G157" s="4" t="str">
        <f>VLOOKUP($A157,'Institution Evaluation'!$A$56:$K$345,7,0)&amp;""</f>
        <v>Yes</v>
      </c>
      <c r="H157" s="4" t="str">
        <f>VLOOKUP($A157,'Institution Evaluation'!$A$56:$K$345,8,0)&amp;""</f>
        <v/>
      </c>
      <c r="I157" s="4" t="str">
        <f>VLOOKUP($A157,'Institution Evaluation'!$A$56:$K$345,9,0)&amp;""</f>
        <v>Standard Importance</v>
      </c>
      <c r="J157" s="4" t="str">
        <f>VLOOKUP($A157,'Institution Evaluation'!$A$56:$K$345,10,0)&amp;""</f>
        <v/>
      </c>
      <c r="K157" s="4">
        <f>IF($I157='Auto Responses'!$J$11,20,IF($I157='Auto Responses'!$J$13,5,10))</f>
        <v>10</v>
      </c>
      <c r="L157" s="105">
        <f>IF($E157='Auto Responses'!$L$13, 'Auto Responses'!$J$5,IF(AND($D157='Auto Responses'!$J$27,$H157=""),'Auto Responses'!$J$5,IF(AND($D157='Auto Responses'!$J$27,$H157='Auto Responses'!$J$7),1,IF(AND($D157='Auto Responses'!$J$27,$H157='Auto Responses'!$J$8),0,IF(OR(AND($F157=$G157,$H157=""),$H157='Auto Responses'!$J$7),1,0)))))</f>
        <v>1</v>
      </c>
      <c r="M157" s="4" t="str">
        <f>VLOOKUP($A157,'Institution Evaluation'!$A$56:$K$345,11,0)&amp;""</f>
        <v>FALSE</v>
      </c>
      <c r="N157" s="4">
        <f>IF($J157='Auto Responses'!$J$11,1,IF(AND($J157="",$I157='Auto Responses'!$J$11),1,0))</f>
        <v>0</v>
      </c>
      <c r="O157" s="105">
        <f>IF(OR($F$17='Auto Responses'!$J$4,$E157='Auto Responses'!$L$13,$F157='Auto Responses'!$J$5),'Auto Responses'!$J$5,IF($J157="",$K157,IF($J157='Auto Responses'!$J$13,5,IF($J157='Auto Responses'!$J$12,10,IF($J157='Auto Responses'!$J$11,20,0)))))</f>
        <v>10</v>
      </c>
      <c r="P157" s="105">
        <f>IF(OR($O157='Auto Responses'!$J$5,$L157='Auto Responses'!$J$5),'Auto Responses'!$J$5,$O157*$L157)</f>
        <v>10</v>
      </c>
      <c r="Q157" s="105">
        <f t="shared" si="14"/>
        <v>0</v>
      </c>
      <c r="R157" s="105">
        <f t="shared" si="19"/>
        <v>0</v>
      </c>
      <c r="S157" s="105">
        <f t="shared" si="15"/>
        <v>0</v>
      </c>
      <c r="T157" s="105">
        <f t="shared" si="16"/>
        <v>0</v>
      </c>
      <c r="U157" s="105">
        <f t="shared" si="20"/>
        <v>49</v>
      </c>
      <c r="V157" s="105">
        <f t="shared" si="17"/>
        <v>0</v>
      </c>
    </row>
    <row r="158" spans="1:22" ht="56" x14ac:dyDescent="0.3">
      <c r="A158" s="4" t="str">
        <f>Questions!$A158</f>
        <v>FIDP-08</v>
      </c>
      <c r="B158" s="4" t="str">
        <f t="shared" si="18"/>
        <v>FIDP</v>
      </c>
      <c r="C158" s="4" t="str">
        <f>VLOOKUP($A158,Questions!$A$3:$L$333,2,0)&amp;""</f>
        <v>Do you employ host-based intrusion prevention?</v>
      </c>
      <c r="D158" s="4" t="str">
        <f>VLOOKUP($A158,Questions!$A$3:$L$333,11,0)&amp;""</f>
        <v/>
      </c>
      <c r="E158" s="4" t="str">
        <f>VLOOKUP($A158,Questions!$A$3:$L$333,12,0)&amp;""</f>
        <v>Infrastructure</v>
      </c>
      <c r="F158" s="4" t="str">
        <f>VLOOKUP($A158,'Institution Evaluation'!$A$56:$K$345,3,0)&amp;""</f>
        <v>Yes</v>
      </c>
      <c r="G158" s="4" t="str">
        <f>VLOOKUP($A158,'Institution Evaluation'!$A$56:$K$345,7,0)&amp;""</f>
        <v>Yes</v>
      </c>
      <c r="H158" s="4" t="str">
        <f>VLOOKUP($A158,'Institution Evaluation'!$A$56:$K$345,8,0)&amp;""</f>
        <v/>
      </c>
      <c r="I158" s="4" t="str">
        <f>VLOOKUP($A158,'Institution Evaluation'!$A$56:$K$345,9,0)&amp;""</f>
        <v>Standard Importance</v>
      </c>
      <c r="J158" s="4" t="str">
        <f>VLOOKUP($A158,'Institution Evaluation'!$A$56:$K$345,10,0)&amp;""</f>
        <v/>
      </c>
      <c r="K158" s="4">
        <f>IF($I158='Auto Responses'!$J$11,20,IF($I158='Auto Responses'!$J$13,5,10))</f>
        <v>10</v>
      </c>
      <c r="L158" s="105">
        <f>IF($E158='Auto Responses'!$L$13, 'Auto Responses'!$J$5,IF(AND($D158='Auto Responses'!$J$27,$H158=""),'Auto Responses'!$J$5,IF(AND($D158='Auto Responses'!$J$27,$H158='Auto Responses'!$J$7),1,IF(AND($D158='Auto Responses'!$J$27,$H158='Auto Responses'!$J$8),0,IF(OR(AND($F158=$G158,$H158=""),$H158='Auto Responses'!$J$7),1,0)))))</f>
        <v>1</v>
      </c>
      <c r="M158" s="4" t="str">
        <f>VLOOKUP($A158,'Institution Evaluation'!$A$56:$K$345,11,0)&amp;""</f>
        <v>FALSE</v>
      </c>
      <c r="N158" s="4">
        <f>IF($J158='Auto Responses'!$J$11,1,IF(AND($J158="",$I158='Auto Responses'!$J$11),1,0))</f>
        <v>0</v>
      </c>
      <c r="O158" s="105">
        <f>IF(OR($F$17='Auto Responses'!$J$4,$E158='Auto Responses'!$L$13,$F158='Auto Responses'!$J$5),'Auto Responses'!$J$5,IF($J158="",$K158,IF($J158='Auto Responses'!$J$13,5,IF($J158='Auto Responses'!$J$12,10,IF($J158='Auto Responses'!$J$11,20,0)))))</f>
        <v>10</v>
      </c>
      <c r="P158" s="105">
        <f>IF(OR($O158='Auto Responses'!$J$5,$L158='Auto Responses'!$J$5),'Auto Responses'!$J$5,$O158*$L158)</f>
        <v>10</v>
      </c>
      <c r="Q158" s="105">
        <f t="shared" si="14"/>
        <v>0</v>
      </c>
      <c r="R158" s="105">
        <f t="shared" si="19"/>
        <v>0</v>
      </c>
      <c r="S158" s="105">
        <f t="shared" si="15"/>
        <v>0</v>
      </c>
      <c r="T158" s="105">
        <f t="shared" si="16"/>
        <v>0</v>
      </c>
      <c r="U158" s="105">
        <f t="shared" si="20"/>
        <v>49</v>
      </c>
      <c r="V158" s="105">
        <f t="shared" si="17"/>
        <v>0</v>
      </c>
    </row>
    <row r="159" spans="1:22" ht="56" x14ac:dyDescent="0.3">
      <c r="A159" s="4" t="str">
        <f>Questions!$A159</f>
        <v>FIDP-09</v>
      </c>
      <c r="B159" s="4" t="str">
        <f t="shared" si="18"/>
        <v>FIDP</v>
      </c>
      <c r="C159" s="4" t="str">
        <f>VLOOKUP($A159,Questions!$A$3:$L$333,2,0)&amp;""</f>
        <v>Are you employing any next-generation persistent threat (NGPT) monitoring?</v>
      </c>
      <c r="D159" s="4" t="str">
        <f>VLOOKUP($A159,Questions!$A$3:$L$333,11,0)&amp;""</f>
        <v/>
      </c>
      <c r="E159" s="4" t="str">
        <f>VLOOKUP($A159,Questions!$A$3:$L$333,12,0)&amp;""</f>
        <v>Infrastructure</v>
      </c>
      <c r="F159" s="4" t="str">
        <f>VLOOKUP($A159,'Institution Evaluation'!$A$56:$K$345,3,0)&amp;""</f>
        <v>Yes</v>
      </c>
      <c r="G159" s="4" t="str">
        <f>VLOOKUP($A159,'Institution Evaluation'!$A$56:$K$345,7,0)&amp;""</f>
        <v>Yes</v>
      </c>
      <c r="H159" s="4" t="str">
        <f>VLOOKUP($A159,'Institution Evaluation'!$A$56:$K$345,8,0)&amp;""</f>
        <v/>
      </c>
      <c r="I159" s="4" t="str">
        <f>VLOOKUP($A159,'Institution Evaluation'!$A$56:$K$345,9,0)&amp;""</f>
        <v>Standard Importance</v>
      </c>
      <c r="J159" s="4" t="str">
        <f>VLOOKUP($A159,'Institution Evaluation'!$A$56:$K$345,10,0)&amp;""</f>
        <v/>
      </c>
      <c r="K159" s="4">
        <f>IF($I159='Auto Responses'!$J$11,20,IF($I159='Auto Responses'!$J$13,5,10))</f>
        <v>10</v>
      </c>
      <c r="L159" s="105">
        <f>IF($E159='Auto Responses'!$L$13, 'Auto Responses'!$J$5,IF(AND($D159='Auto Responses'!$J$27,$H159=""),'Auto Responses'!$J$5,IF(AND($D159='Auto Responses'!$J$27,$H159='Auto Responses'!$J$7),1,IF(AND($D159='Auto Responses'!$J$27,$H159='Auto Responses'!$J$8),0,IF(OR(AND($F159=$G159,$H159=""),$H159='Auto Responses'!$J$7),1,0)))))</f>
        <v>1</v>
      </c>
      <c r="M159" s="4" t="str">
        <f>VLOOKUP($A159,'Institution Evaluation'!$A$56:$K$345,11,0)&amp;""</f>
        <v>FALSE</v>
      </c>
      <c r="N159" s="4">
        <f>IF($J159='Auto Responses'!$J$11,1,IF(AND($J159="",$I159='Auto Responses'!$J$11),1,0))</f>
        <v>0</v>
      </c>
      <c r="O159" s="105">
        <f>IF(OR($F$17='Auto Responses'!$J$4,$E159='Auto Responses'!$L$13,$F159='Auto Responses'!$J$5),'Auto Responses'!$J$5,IF($J159="",$K159,IF($J159='Auto Responses'!$J$13,5,IF($J159='Auto Responses'!$J$12,10,IF($J159='Auto Responses'!$J$11,20,0)))))</f>
        <v>10</v>
      </c>
      <c r="P159" s="105">
        <f>IF(OR($O159='Auto Responses'!$J$5,$L159='Auto Responses'!$J$5),'Auto Responses'!$J$5,$O159*$L159)</f>
        <v>10</v>
      </c>
      <c r="Q159" s="105">
        <f t="shared" si="14"/>
        <v>0</v>
      </c>
      <c r="R159" s="105">
        <f t="shared" si="19"/>
        <v>0</v>
      </c>
      <c r="S159" s="105">
        <f t="shared" si="15"/>
        <v>0</v>
      </c>
      <c r="T159" s="105">
        <f t="shared" si="16"/>
        <v>0</v>
      </c>
      <c r="U159" s="105">
        <f t="shared" si="20"/>
        <v>49</v>
      </c>
      <c r="V159" s="105">
        <f t="shared" si="17"/>
        <v>0</v>
      </c>
    </row>
    <row r="160" spans="1:22" ht="56" x14ac:dyDescent="0.3">
      <c r="A160" s="4" t="str">
        <f>Questions!$A160</f>
        <v>FIDP-10</v>
      </c>
      <c r="B160" s="4" t="str">
        <f t="shared" si="18"/>
        <v>FIDP</v>
      </c>
      <c r="C160" s="4" t="str">
        <f>VLOOKUP($A160,Questions!$A$3:$L$333,2,0)&amp;""</f>
        <v>Is intrusion monitoring performed internally or by a third-party service?</v>
      </c>
      <c r="D160" s="4" t="str">
        <f>VLOOKUP($A160,Questions!$A$3:$L$333,11,0)&amp;""</f>
        <v/>
      </c>
      <c r="E160" s="4" t="str">
        <f>VLOOKUP($A160,Questions!$A$3:$L$333,12,0)&amp;""</f>
        <v>Not scored</v>
      </c>
      <c r="F160" s="4" t="str">
        <f>VLOOKUP($A160,'Institution Evaluation'!$A$56:$K$345,3,0)&amp;""</f>
        <v>Yes</v>
      </c>
      <c r="G160" s="4" t="str">
        <f>VLOOKUP($A160,'Institution Evaluation'!$A$56:$K$345,7,0)&amp;""</f>
        <v>Not scored</v>
      </c>
      <c r="H160" s="4" t="str">
        <f>VLOOKUP($A160,'Institution Evaluation'!$A$56:$K$345,8,0)&amp;""</f>
        <v/>
      </c>
      <c r="I160" s="4" t="str">
        <f>VLOOKUP($A160,'Institution Evaluation'!$A$56:$K$345,9,0)&amp;""</f>
        <v/>
      </c>
      <c r="J160" s="4" t="str">
        <f>VLOOKUP($A160,'Institution Evaluation'!$A$56:$K$345,10,0)&amp;""</f>
        <v/>
      </c>
      <c r="K160" s="4">
        <f>IF($I160='Auto Responses'!$J$11,20,IF($I160='Auto Responses'!$J$13,5,10))</f>
        <v>10</v>
      </c>
      <c r="L160" s="105" t="str">
        <f>IF($E160='Auto Responses'!$L$13, 'Auto Responses'!$J$5,IF(AND($D160='Auto Responses'!$J$27,$H160=""),'Auto Responses'!$J$5,IF(AND($D160='Auto Responses'!$J$27,$H160='Auto Responses'!$J$7),1,IF(AND($D160='Auto Responses'!$J$27,$H160='Auto Responses'!$J$8),0,IF(OR(AND($F160=$G160,$H160=""),$H160='Auto Responses'!$J$7),1,0)))))</f>
        <v>N/A</v>
      </c>
      <c r="M160" s="4" t="str">
        <f>VLOOKUP($A160,'Institution Evaluation'!$A$56:$K$345,11,0)&amp;""</f>
        <v>FALSE</v>
      </c>
      <c r="N160" s="4">
        <f>IF($J160='Auto Responses'!$J$11,1,IF(AND($J160="",$I160='Auto Responses'!$J$11),1,0))</f>
        <v>0</v>
      </c>
      <c r="O160" s="105" t="str">
        <f>IF(OR($F$17='Auto Responses'!$J$4,$E160='Auto Responses'!$L$13,$F160='Auto Responses'!$J$5),'Auto Responses'!$J$5,IF($J160="",$K160,IF($J160='Auto Responses'!$J$13,5,IF($J160='Auto Responses'!$J$12,10,IF($J160='Auto Responses'!$J$11,20,0)))))</f>
        <v>N/A</v>
      </c>
      <c r="P160" s="105" t="str">
        <f>IF(OR($O160='Auto Responses'!$J$5,$L160='Auto Responses'!$J$5),'Auto Responses'!$J$5,$O160*$L160)</f>
        <v>N/A</v>
      </c>
      <c r="Q160" s="105">
        <f t="shared" si="14"/>
        <v>0</v>
      </c>
      <c r="R160" s="105">
        <f t="shared" si="19"/>
        <v>0</v>
      </c>
      <c r="S160" s="105">
        <f t="shared" si="15"/>
        <v>0</v>
      </c>
      <c r="T160" s="105">
        <f t="shared" si="16"/>
        <v>0</v>
      </c>
      <c r="U160" s="105">
        <f t="shared" si="20"/>
        <v>49</v>
      </c>
      <c r="V160" s="105">
        <f t="shared" si="17"/>
        <v>0</v>
      </c>
    </row>
    <row r="161" spans="1:22" ht="56" x14ac:dyDescent="0.3">
      <c r="A161" s="4" t="str">
        <f>Questions!$A161</f>
        <v>FIDP-11</v>
      </c>
      <c r="B161" s="4" t="str">
        <f t="shared" si="18"/>
        <v>FIDP</v>
      </c>
      <c r="C161" s="4" t="str">
        <f>VLOOKUP($A161,Questions!$A$3:$L$333,2,0)&amp;""</f>
        <v>Do you monitor for intrusions on a 24 x 7 x 365 basis?</v>
      </c>
      <c r="D161" s="4" t="str">
        <f>VLOOKUP($A161,Questions!$A$3:$L$333,11,0)&amp;""</f>
        <v/>
      </c>
      <c r="E161" s="4" t="str">
        <f>VLOOKUP($A161,Questions!$A$3:$L$333,12,0)&amp;""</f>
        <v>Infrastructure</v>
      </c>
      <c r="F161" s="4" t="str">
        <f>VLOOKUP($A161,'Institution Evaluation'!$A$56:$K$345,3,0)&amp;""</f>
        <v>Yes</v>
      </c>
      <c r="G161" s="4" t="str">
        <f>VLOOKUP($A161,'Institution Evaluation'!$A$56:$K$345,7,0)&amp;""</f>
        <v>Yes</v>
      </c>
      <c r="H161" s="4" t="str">
        <f>VLOOKUP($A161,'Institution Evaluation'!$A$56:$K$345,8,0)&amp;""</f>
        <v/>
      </c>
      <c r="I161" s="4" t="str">
        <f>VLOOKUP($A161,'Institution Evaluation'!$A$56:$K$345,9,0)&amp;""</f>
        <v>Minor Importance</v>
      </c>
      <c r="J161" s="4" t="str">
        <f>VLOOKUP($A161,'Institution Evaluation'!$A$56:$K$345,10,0)&amp;""</f>
        <v/>
      </c>
      <c r="K161" s="4">
        <f>IF($I161='Auto Responses'!$J$11,20,IF($I161='Auto Responses'!$J$13,5,10))</f>
        <v>5</v>
      </c>
      <c r="L161" s="105">
        <f>IF($E161='Auto Responses'!$L$13, 'Auto Responses'!$J$5,IF(AND($D161='Auto Responses'!$J$27,$H161=""),'Auto Responses'!$J$5,IF(AND($D161='Auto Responses'!$J$27,$H161='Auto Responses'!$J$7),1,IF(AND($D161='Auto Responses'!$J$27,$H161='Auto Responses'!$J$8),0,IF(OR(AND($F161=$G161,$H161=""),$H161='Auto Responses'!$J$7),1,0)))))</f>
        <v>1</v>
      </c>
      <c r="M161" s="4" t="str">
        <f>VLOOKUP($A161,'Institution Evaluation'!$A$56:$K$345,11,0)&amp;""</f>
        <v>FALSE</v>
      </c>
      <c r="N161" s="4">
        <f>IF($J161='Auto Responses'!$J$11,1,IF(AND($J161="",$I161='Auto Responses'!$J$11),1,0))</f>
        <v>0</v>
      </c>
      <c r="O161" s="105">
        <f>IF(OR($F$17='Auto Responses'!$J$4,$E161='Auto Responses'!$L$13,$F161='Auto Responses'!$J$5),'Auto Responses'!$J$5,IF($J161="",$K161,IF($J161='Auto Responses'!$J$13,5,IF($J161='Auto Responses'!$J$12,10,IF($J161='Auto Responses'!$J$11,20,0)))))</f>
        <v>5</v>
      </c>
      <c r="P161" s="105">
        <f>IF(OR($O161='Auto Responses'!$J$5,$L161='Auto Responses'!$J$5),'Auto Responses'!$J$5,$O161*$L161)</f>
        <v>5</v>
      </c>
      <c r="Q161" s="105">
        <f t="shared" si="14"/>
        <v>0</v>
      </c>
      <c r="R161" s="105">
        <f t="shared" si="19"/>
        <v>0</v>
      </c>
      <c r="S161" s="105">
        <f t="shared" si="15"/>
        <v>0</v>
      </c>
      <c r="T161" s="105">
        <f t="shared" si="16"/>
        <v>0</v>
      </c>
      <c r="U161" s="105">
        <f t="shared" si="20"/>
        <v>49</v>
      </c>
      <c r="V161" s="105">
        <f t="shared" si="17"/>
        <v>0</v>
      </c>
    </row>
    <row r="162" spans="1:22" ht="56" x14ac:dyDescent="0.3">
      <c r="A162" s="4" t="str">
        <f>Questions!$A162</f>
        <v>PPPR-01</v>
      </c>
      <c r="B162" s="4" t="str">
        <f t="shared" si="18"/>
        <v>PPPR</v>
      </c>
      <c r="C162" s="4" t="str">
        <f>VLOOKUP($A162,Questions!$A$3:$L$333,2,0)&amp;""</f>
        <v>Do you have a documented patch management process?*</v>
      </c>
      <c r="D162" s="4" t="str">
        <f>VLOOKUP($A162,Questions!$A$3:$L$333,11,0)&amp;""</f>
        <v/>
      </c>
      <c r="E162" s="4" t="str">
        <f>VLOOKUP($A162,Questions!$A$3:$L$333,12,0)&amp;""</f>
        <v>Organization</v>
      </c>
      <c r="F162" s="4" t="str">
        <f>VLOOKUP($A162,'Institution Evaluation'!$A$56:$K$345,3,0)&amp;""</f>
        <v>Yes</v>
      </c>
      <c r="G162" s="4" t="str">
        <f>VLOOKUP($A162,'Institution Evaluation'!$A$56:$K$345,7,0)&amp;""</f>
        <v>Yes</v>
      </c>
      <c r="H162" s="4" t="str">
        <f>VLOOKUP($A162,'Institution Evaluation'!$A$56:$K$345,8,0)&amp;""</f>
        <v/>
      </c>
      <c r="I162" s="4" t="str">
        <f>VLOOKUP($A162,'Institution Evaluation'!$A$56:$K$345,9,0)&amp;""</f>
        <v>Critical Importance</v>
      </c>
      <c r="J162" s="4" t="str">
        <f>VLOOKUP($A162,'Institution Evaluation'!$A$56:$K$345,10,0)&amp;""</f>
        <v/>
      </c>
      <c r="K162" s="4">
        <f>IF($I162='Auto Responses'!$J$11,20,IF($I162='Auto Responses'!$J$13,5,10))</f>
        <v>20</v>
      </c>
      <c r="L162" s="105">
        <f>IF($E162='Auto Responses'!$L$13, 'Auto Responses'!$J$5,IF(AND($D162='Auto Responses'!$J$27,$H162=""),'Auto Responses'!$J$5,IF(AND($D162='Auto Responses'!$J$27,$H162='Auto Responses'!$J$7),1,IF(AND($D162='Auto Responses'!$J$27,$H162='Auto Responses'!$J$8),0,IF(OR(AND($F162=$G162,$H162=""),$H162='Auto Responses'!$J$7),1,0)))))</f>
        <v>1</v>
      </c>
      <c r="M162" s="4" t="str">
        <f>VLOOKUP($A162,'Institution Evaluation'!$A$56:$K$345,11,0)&amp;""</f>
        <v>FALSE</v>
      </c>
      <c r="N162" s="4">
        <f>IF($J162='Auto Responses'!$J$11,1,IF(AND($J162="",$I162='Auto Responses'!$J$11),1,0))</f>
        <v>1</v>
      </c>
      <c r="O162" s="105">
        <f>IF(OR($E162='Auto Responses'!$L$13,$F162='Auto Responses'!$J$5),'Auto Responses'!$J$5,IF($J162="",$K162,IF($J162='Auto Responses'!$J$13,5,IF($J162='Auto Responses'!$J$12,10,IF($J162='Auto Responses'!$J$11,20,0)))))</f>
        <v>20</v>
      </c>
      <c r="P162" s="105">
        <f>IF(OR($O162='Auto Responses'!$J$5,$L162='Auto Responses'!$J$5),'Auto Responses'!$J$5,$O162*$L162)</f>
        <v>20</v>
      </c>
      <c r="Q162" s="105">
        <f t="shared" si="14"/>
        <v>0</v>
      </c>
      <c r="R162" s="105">
        <f t="shared" si="19"/>
        <v>0</v>
      </c>
      <c r="S162" s="105">
        <f t="shared" si="15"/>
        <v>0</v>
      </c>
      <c r="T162" s="105">
        <f t="shared" si="16"/>
        <v>1</v>
      </c>
      <c r="U162" s="105">
        <f t="shared" si="20"/>
        <v>50</v>
      </c>
      <c r="V162" s="105">
        <f t="shared" si="17"/>
        <v>50</v>
      </c>
    </row>
    <row r="163" spans="1:22" ht="56" x14ac:dyDescent="0.3">
      <c r="A163" s="4" t="str">
        <f>Questions!$A163</f>
        <v>PPPR-02</v>
      </c>
      <c r="B163" s="4" t="str">
        <f t="shared" si="18"/>
        <v>PPPR</v>
      </c>
      <c r="C163" s="4" t="str">
        <f>VLOOKUP($A163,Questions!$A$3:$L$333,2,0)&amp;""</f>
        <v>Can your organization comply with institutional policies on privacy and data protection with regard to users of institutional systems, if required?*</v>
      </c>
      <c r="D163" s="4" t="str">
        <f>VLOOKUP($A163,Questions!$A$3:$L$333,11,0)&amp;""</f>
        <v/>
      </c>
      <c r="E163" s="4" t="str">
        <f>VLOOKUP($A163,Questions!$A$3:$L$333,12,0)&amp;""</f>
        <v>Organization</v>
      </c>
      <c r="F163" s="4" t="str">
        <f>VLOOKUP($A163,'Institution Evaluation'!$A$56:$K$345,3,0)&amp;""</f>
        <v>Yes</v>
      </c>
      <c r="G163" s="4" t="str">
        <f>VLOOKUP($A163,'Institution Evaluation'!$A$56:$K$345,7,0)&amp;""</f>
        <v>Yes</v>
      </c>
      <c r="H163" s="4" t="str">
        <f>VLOOKUP($A163,'Institution Evaluation'!$A$56:$K$345,8,0)&amp;""</f>
        <v/>
      </c>
      <c r="I163" s="4" t="str">
        <f>VLOOKUP($A163,'Institution Evaluation'!$A$56:$K$345,9,0)&amp;""</f>
        <v>Critical Importance</v>
      </c>
      <c r="J163" s="4" t="str">
        <f>VLOOKUP($A163,'Institution Evaluation'!$A$56:$K$345,10,0)&amp;""</f>
        <v/>
      </c>
      <c r="K163" s="4">
        <f>IF($I163='Auto Responses'!$J$11,20,IF($I163='Auto Responses'!$J$13,5,10))</f>
        <v>20</v>
      </c>
      <c r="L163" s="105">
        <f>IF($E163='Auto Responses'!$L$13, 'Auto Responses'!$J$5,IF(AND($D163='Auto Responses'!$J$27,$H163=""),'Auto Responses'!$J$5,IF(AND($D163='Auto Responses'!$J$27,$H163='Auto Responses'!$J$7),1,IF(AND($D163='Auto Responses'!$J$27,$H163='Auto Responses'!$J$8),0,IF(OR(AND($F163=$G163,$H163=""),$H163='Auto Responses'!$J$7),1,0)))))</f>
        <v>1</v>
      </c>
      <c r="M163" s="4" t="str">
        <f>VLOOKUP($A163,'Institution Evaluation'!$A$56:$K$345,11,0)&amp;""</f>
        <v>FALSE</v>
      </c>
      <c r="N163" s="4">
        <f>IF($J163='Auto Responses'!$J$11,1,IF(AND($J163="",$I163='Auto Responses'!$J$11),1,0))</f>
        <v>1</v>
      </c>
      <c r="O163" s="105">
        <f>IF(OR($E163='Auto Responses'!$L$13,$F163='Auto Responses'!$J$5),'Auto Responses'!$J$5,IF($J163="",$K163,IF($J163='Auto Responses'!$J$13,5,IF($J163='Auto Responses'!$J$12,10,IF($J163='Auto Responses'!$J$11,20,0)))))</f>
        <v>20</v>
      </c>
      <c r="P163" s="105">
        <f>IF(OR($O163='Auto Responses'!$J$5,$L163='Auto Responses'!$J$5),'Auto Responses'!$J$5,$O163*$L163)</f>
        <v>20</v>
      </c>
      <c r="Q163" s="105">
        <f t="shared" si="14"/>
        <v>0</v>
      </c>
      <c r="R163" s="105">
        <f t="shared" si="19"/>
        <v>0</v>
      </c>
      <c r="S163" s="105">
        <f t="shared" si="15"/>
        <v>0</v>
      </c>
      <c r="T163" s="105">
        <f t="shared" si="16"/>
        <v>1</v>
      </c>
      <c r="U163" s="105">
        <f t="shared" si="20"/>
        <v>51</v>
      </c>
      <c r="V163" s="105">
        <f t="shared" si="17"/>
        <v>51</v>
      </c>
    </row>
    <row r="164" spans="1:22" ht="56" x14ac:dyDescent="0.3">
      <c r="A164" s="4" t="str">
        <f>Questions!$A164</f>
        <v>PPPR-03</v>
      </c>
      <c r="B164" s="4" t="str">
        <f t="shared" si="18"/>
        <v>PPPR</v>
      </c>
      <c r="C164" s="4" t="str">
        <f>VLOOKUP($A164,Questions!$A$3:$L$333,2,0)&amp;""</f>
        <v>Is your company subject to the institution's geographic region's laws and regulations?*</v>
      </c>
      <c r="D164" s="4" t="str">
        <f>VLOOKUP($A164,Questions!$A$3:$L$333,11,0)&amp;""</f>
        <v/>
      </c>
      <c r="E164" s="4" t="str">
        <f>VLOOKUP($A164,Questions!$A$3:$L$333,12,0)&amp;""</f>
        <v>Organization</v>
      </c>
      <c r="F164" s="4" t="str">
        <f>VLOOKUP($A164,'Institution Evaluation'!$A$56:$K$345,3,0)&amp;""</f>
        <v>Yes</v>
      </c>
      <c r="G164" s="4" t="str">
        <f>VLOOKUP($A164,'Institution Evaluation'!$A$56:$K$345,7,0)&amp;""</f>
        <v>Yes</v>
      </c>
      <c r="H164" s="4" t="str">
        <f>VLOOKUP($A164,'Institution Evaluation'!$A$56:$K$345,8,0)&amp;""</f>
        <v/>
      </c>
      <c r="I164" s="4" t="str">
        <f>VLOOKUP($A164,'Institution Evaluation'!$A$56:$K$345,9,0)&amp;""</f>
        <v>Critical Importance</v>
      </c>
      <c r="J164" s="4" t="str">
        <f>VLOOKUP($A164,'Institution Evaluation'!$A$56:$K$345,10,0)&amp;""</f>
        <v/>
      </c>
      <c r="K164" s="4">
        <f>IF($I164='Auto Responses'!$J$11,20,IF($I164='Auto Responses'!$J$13,5,10))</f>
        <v>20</v>
      </c>
      <c r="L164" s="105">
        <f>IF($E164='Auto Responses'!$L$13, 'Auto Responses'!$J$5,IF(AND($D164='Auto Responses'!$J$27,$H164=""),'Auto Responses'!$J$5,IF(AND($D164='Auto Responses'!$J$27,$H164='Auto Responses'!$J$7),1,IF(AND($D164='Auto Responses'!$J$27,$H164='Auto Responses'!$J$8),0,IF(OR(AND($F164=$G164,$H164=""),$H164='Auto Responses'!$J$7),1,0)))))</f>
        <v>1</v>
      </c>
      <c r="M164" s="4" t="str">
        <f>VLOOKUP($A164,'Institution Evaluation'!$A$56:$K$345,11,0)&amp;""</f>
        <v>FALSE</v>
      </c>
      <c r="N164" s="4">
        <f>IF($J164='Auto Responses'!$J$11,1,IF(AND($J164="",$I164='Auto Responses'!$J$11),1,0))</f>
        <v>1</v>
      </c>
      <c r="O164" s="105">
        <f>IF(OR($E164='Auto Responses'!$L$13,$F164='Auto Responses'!$J$5),'Auto Responses'!$J$5,IF($J164="",$K164,IF($J164='Auto Responses'!$J$13,5,IF($J164='Auto Responses'!$J$12,10,IF($J164='Auto Responses'!$J$11,20,0)))))</f>
        <v>20</v>
      </c>
      <c r="P164" s="105">
        <f>IF(OR($O164='Auto Responses'!$J$5,$L164='Auto Responses'!$J$5),'Auto Responses'!$J$5,$O164*$L164)</f>
        <v>20</v>
      </c>
      <c r="Q164" s="105">
        <f t="shared" si="14"/>
        <v>0</v>
      </c>
      <c r="R164" s="105">
        <f t="shared" si="19"/>
        <v>0</v>
      </c>
      <c r="S164" s="105">
        <f t="shared" si="15"/>
        <v>0</v>
      </c>
      <c r="T164" s="105">
        <f t="shared" si="16"/>
        <v>1</v>
      </c>
      <c r="U164" s="105">
        <f t="shared" si="20"/>
        <v>52</v>
      </c>
      <c r="V164" s="105">
        <f t="shared" si="17"/>
        <v>52</v>
      </c>
    </row>
    <row r="165" spans="1:22" ht="56" x14ac:dyDescent="0.3">
      <c r="A165" s="4" t="str">
        <f>Questions!$A165</f>
        <v>PPPR-04</v>
      </c>
      <c r="B165" s="4" t="str">
        <f t="shared" si="18"/>
        <v>PPPR</v>
      </c>
      <c r="C165" s="4" t="str">
        <f>VLOOKUP($A165,Questions!$A$3:$L$333,2,0)&amp;""</f>
        <v>Can you accommodate encryption requirements using open standards?</v>
      </c>
      <c r="D165" s="4" t="str">
        <f>VLOOKUP($A165,Questions!$A$3:$L$333,11,0)&amp;""</f>
        <v/>
      </c>
      <c r="E165" s="4" t="str">
        <f>VLOOKUP($A165,Questions!$A$3:$L$333,12,0)&amp;""</f>
        <v>Organization</v>
      </c>
      <c r="F165" s="4" t="str">
        <f>VLOOKUP($A165,'Institution Evaluation'!$A$56:$K$345,3,0)&amp;""</f>
        <v>Yes</v>
      </c>
      <c r="G165" s="4" t="str">
        <f>VLOOKUP($A165,'Institution Evaluation'!$A$56:$K$345,7,0)&amp;""</f>
        <v>Yes</v>
      </c>
      <c r="H165" s="4" t="str">
        <f>VLOOKUP($A165,'Institution Evaluation'!$A$56:$K$345,8,0)&amp;""</f>
        <v/>
      </c>
      <c r="I165" s="4" t="str">
        <f>VLOOKUP($A165,'Institution Evaluation'!$A$56:$K$345,9,0)&amp;""</f>
        <v>Standard Importance</v>
      </c>
      <c r="J165" s="4" t="str">
        <f>VLOOKUP($A165,'Institution Evaluation'!$A$56:$K$345,10,0)&amp;""</f>
        <v/>
      </c>
      <c r="K165" s="4">
        <f>IF($I165='Auto Responses'!$J$11,20,IF($I165='Auto Responses'!$J$13,5,10))</f>
        <v>10</v>
      </c>
      <c r="L165" s="105">
        <f>IF($E165='Auto Responses'!$L$13, 'Auto Responses'!$J$5,IF(AND($D165='Auto Responses'!$J$27,$H165=""),'Auto Responses'!$J$5,IF(AND($D165='Auto Responses'!$J$27,$H165='Auto Responses'!$J$7),1,IF(AND($D165='Auto Responses'!$J$27,$H165='Auto Responses'!$J$8),0,IF(OR(AND($F165=$G165,$H165=""),$H165='Auto Responses'!$J$7),1,0)))))</f>
        <v>1</v>
      </c>
      <c r="M165" s="4" t="str">
        <f>VLOOKUP($A165,'Institution Evaluation'!$A$56:$K$345,11,0)&amp;""</f>
        <v>FALSE</v>
      </c>
      <c r="N165" s="4">
        <f>IF($J165='Auto Responses'!$J$11,1,IF(AND($J165="",$I165='Auto Responses'!$J$11),1,0))</f>
        <v>0</v>
      </c>
      <c r="O165" s="105">
        <f>IF(OR($E165='Auto Responses'!$L$13,$F165='Auto Responses'!$J$5),'Auto Responses'!$J$5,IF($J165="",$K165,IF($J165='Auto Responses'!$J$13,5,IF($J165='Auto Responses'!$J$12,10,IF($J165='Auto Responses'!$J$11,20,0)))))</f>
        <v>10</v>
      </c>
      <c r="P165" s="105">
        <f>IF(OR($O165='Auto Responses'!$J$5,$L165='Auto Responses'!$J$5),'Auto Responses'!$J$5,$O165*$L165)</f>
        <v>10</v>
      </c>
      <c r="Q165" s="105">
        <f t="shared" si="14"/>
        <v>0</v>
      </c>
      <c r="R165" s="105">
        <f t="shared" si="19"/>
        <v>0</v>
      </c>
      <c r="S165" s="105">
        <f t="shared" si="15"/>
        <v>0</v>
      </c>
      <c r="T165" s="105">
        <f t="shared" si="16"/>
        <v>0</v>
      </c>
      <c r="U165" s="105">
        <f t="shared" si="20"/>
        <v>52</v>
      </c>
      <c r="V165" s="105">
        <f t="shared" si="17"/>
        <v>0</v>
      </c>
    </row>
    <row r="166" spans="1:22" ht="56" x14ac:dyDescent="0.3">
      <c r="A166" s="4" t="str">
        <f>Questions!$A166</f>
        <v>PPPR-05</v>
      </c>
      <c r="B166" s="4" t="str">
        <f t="shared" si="18"/>
        <v>PPPR</v>
      </c>
      <c r="C166" s="4" t="str">
        <f>VLOOKUP($A166,Questions!$A$3:$L$333,2,0)&amp;""</f>
        <v>Do you have a documented systems development life cycle (SDLC)?</v>
      </c>
      <c r="D166" s="4" t="str">
        <f>VLOOKUP($A166,Questions!$A$3:$L$333,11,0)&amp;""</f>
        <v/>
      </c>
      <c r="E166" s="4" t="str">
        <f>VLOOKUP($A166,Questions!$A$3:$L$333,12,0)&amp;""</f>
        <v>Organization</v>
      </c>
      <c r="F166" s="4" t="str">
        <f>VLOOKUP($A166,'Institution Evaluation'!$A$56:$K$345,3,0)&amp;""</f>
        <v>Yes</v>
      </c>
      <c r="G166" s="4" t="str">
        <f>VLOOKUP($A166,'Institution Evaluation'!$A$56:$K$345,7,0)&amp;""</f>
        <v>Yes</v>
      </c>
      <c r="H166" s="4" t="str">
        <f>VLOOKUP($A166,'Institution Evaluation'!$A$56:$K$345,8,0)&amp;""</f>
        <v/>
      </c>
      <c r="I166" s="4" t="str">
        <f>VLOOKUP($A166,'Institution Evaluation'!$A$56:$K$345,9,0)&amp;""</f>
        <v>Standard Importance</v>
      </c>
      <c r="J166" s="4" t="str">
        <f>VLOOKUP($A166,'Institution Evaluation'!$A$56:$K$345,10,0)&amp;""</f>
        <v/>
      </c>
      <c r="K166" s="4">
        <f>IF($I166='Auto Responses'!$J$11,20,IF($I166='Auto Responses'!$J$13,5,10))</f>
        <v>10</v>
      </c>
      <c r="L166" s="105">
        <f>IF($E166='Auto Responses'!$L$13, 'Auto Responses'!$J$5,IF(AND($D166='Auto Responses'!$J$27,$H166=""),'Auto Responses'!$J$5,IF(AND($D166='Auto Responses'!$J$27,$H166='Auto Responses'!$J$7),1,IF(AND($D166='Auto Responses'!$J$27,$H166='Auto Responses'!$J$8),0,IF(OR(AND($F166=$G166,$H166=""),$H166='Auto Responses'!$J$7),1,0)))))</f>
        <v>1</v>
      </c>
      <c r="M166" s="4" t="str">
        <f>VLOOKUP($A166,'Institution Evaluation'!$A$56:$K$345,11,0)&amp;""</f>
        <v>FALSE</v>
      </c>
      <c r="N166" s="4">
        <f>IF($J166='Auto Responses'!$J$11,1,IF(AND($J166="",$I166='Auto Responses'!$J$11),1,0))</f>
        <v>0</v>
      </c>
      <c r="O166" s="105">
        <f>IF(OR($E166='Auto Responses'!$L$13,$F166='Auto Responses'!$J$5),'Auto Responses'!$J$5,IF($J166="",$K166,IF($J166='Auto Responses'!$J$13,5,IF($J166='Auto Responses'!$J$12,10,IF($J166='Auto Responses'!$J$11,20,0)))))</f>
        <v>10</v>
      </c>
      <c r="P166" s="105">
        <f>IF(OR($O166='Auto Responses'!$J$5,$L166='Auto Responses'!$J$5),'Auto Responses'!$J$5,$O166*$L166)</f>
        <v>10</v>
      </c>
      <c r="Q166" s="105">
        <f t="shared" si="14"/>
        <v>0</v>
      </c>
      <c r="R166" s="105">
        <f t="shared" si="19"/>
        <v>0</v>
      </c>
      <c r="S166" s="105">
        <f t="shared" si="15"/>
        <v>0</v>
      </c>
      <c r="T166" s="105">
        <f t="shared" si="16"/>
        <v>0</v>
      </c>
      <c r="U166" s="105">
        <f t="shared" si="20"/>
        <v>52</v>
      </c>
      <c r="V166" s="105">
        <f t="shared" si="17"/>
        <v>0</v>
      </c>
    </row>
    <row r="167" spans="1:22" ht="56" x14ac:dyDescent="0.3">
      <c r="A167" s="4" t="str">
        <f>Questions!$A167</f>
        <v>PPPR-06</v>
      </c>
      <c r="B167" s="4" t="str">
        <f t="shared" si="18"/>
        <v>PPPR</v>
      </c>
      <c r="C167" s="4" t="str">
        <f>VLOOKUP($A167,Questions!$A$3:$L$333,2,0)&amp;""</f>
        <v>Do you perform background screenings or multi-state background checks on all employees prior to their first day of work?</v>
      </c>
      <c r="D167" s="4" t="str">
        <f>VLOOKUP($A167,Questions!$A$3:$L$333,11,0)&amp;""</f>
        <v/>
      </c>
      <c r="E167" s="4" t="str">
        <f>VLOOKUP($A167,Questions!$A$3:$L$333,12,0)&amp;""</f>
        <v>Organization</v>
      </c>
      <c r="F167" s="4" t="str">
        <f>VLOOKUP($A167,'Institution Evaluation'!$A$56:$K$345,3,0)&amp;""</f>
        <v>Yes</v>
      </c>
      <c r="G167" s="4" t="str">
        <f>VLOOKUP($A167,'Institution Evaluation'!$A$56:$K$345,7,0)&amp;""</f>
        <v>Yes</v>
      </c>
      <c r="H167" s="4" t="str">
        <f>VLOOKUP($A167,'Institution Evaluation'!$A$56:$K$345,8,0)&amp;""</f>
        <v/>
      </c>
      <c r="I167" s="4" t="str">
        <f>VLOOKUP($A167,'Institution Evaluation'!$A$56:$K$345,9,0)&amp;""</f>
        <v>Standard Importance</v>
      </c>
      <c r="J167" s="4" t="str">
        <f>VLOOKUP($A167,'Institution Evaluation'!$A$56:$K$345,10,0)&amp;""</f>
        <v/>
      </c>
      <c r="K167" s="4">
        <f>IF($I167='Auto Responses'!$J$11,20,IF($I167='Auto Responses'!$J$13,5,10))</f>
        <v>10</v>
      </c>
      <c r="L167" s="105">
        <f>IF($E167='Auto Responses'!$L$13, 'Auto Responses'!$J$5,IF(AND($D167='Auto Responses'!$J$27,$H167=""),'Auto Responses'!$J$5,IF(AND($D167='Auto Responses'!$J$27,$H167='Auto Responses'!$J$7),1,IF(AND($D167='Auto Responses'!$J$27,$H167='Auto Responses'!$J$8),0,IF(OR(AND($F167=$G167,$H167=""),$H167='Auto Responses'!$J$7),1,0)))))</f>
        <v>1</v>
      </c>
      <c r="M167" s="4" t="str">
        <f>VLOOKUP($A167,'Institution Evaluation'!$A$56:$K$345,11,0)&amp;""</f>
        <v>FALSE</v>
      </c>
      <c r="N167" s="4">
        <f>IF($J167='Auto Responses'!$J$11,1,IF(AND($J167="",$I167='Auto Responses'!$J$11),1,0))</f>
        <v>0</v>
      </c>
      <c r="O167" s="105">
        <f>IF(OR($E167='Auto Responses'!$L$13,$F167='Auto Responses'!$J$5),'Auto Responses'!$J$5,IF($J167="",$K167,IF($J167='Auto Responses'!$J$13,5,IF($J167='Auto Responses'!$J$12,10,IF($J167='Auto Responses'!$J$11,20,0)))))</f>
        <v>10</v>
      </c>
      <c r="P167" s="105">
        <f>IF(OR($O167='Auto Responses'!$J$5,$L167='Auto Responses'!$J$5),'Auto Responses'!$J$5,$O167*$L167)</f>
        <v>10</v>
      </c>
      <c r="Q167" s="105">
        <f t="shared" si="14"/>
        <v>0</v>
      </c>
      <c r="R167" s="105">
        <f t="shared" si="19"/>
        <v>0</v>
      </c>
      <c r="S167" s="105">
        <f t="shared" si="15"/>
        <v>0</v>
      </c>
      <c r="T167" s="105">
        <f t="shared" si="16"/>
        <v>0</v>
      </c>
      <c r="U167" s="105">
        <f t="shared" si="20"/>
        <v>52</v>
      </c>
      <c r="V167" s="105">
        <f t="shared" si="17"/>
        <v>0</v>
      </c>
    </row>
    <row r="168" spans="1:22" ht="56" x14ac:dyDescent="0.3">
      <c r="A168" s="4" t="str">
        <f>Questions!$A168</f>
        <v>PPPR-07</v>
      </c>
      <c r="B168" s="4" t="str">
        <f t="shared" si="18"/>
        <v>PPPR</v>
      </c>
      <c r="C168" s="4" t="str">
        <f>VLOOKUP($A168,Questions!$A$3:$L$333,2,0)&amp;""</f>
        <v>Do you require new employees to fill out agreements and review policies?</v>
      </c>
      <c r="D168" s="4" t="str">
        <f>VLOOKUP($A168,Questions!$A$3:$L$333,11,0)&amp;""</f>
        <v/>
      </c>
      <c r="E168" s="4" t="str">
        <f>VLOOKUP($A168,Questions!$A$3:$L$333,12,0)&amp;""</f>
        <v>Organization</v>
      </c>
      <c r="F168" s="4" t="str">
        <f>VLOOKUP($A168,'Institution Evaluation'!$A$56:$K$345,3,0)&amp;""</f>
        <v>Yes</v>
      </c>
      <c r="G168" s="4" t="str">
        <f>VLOOKUP($A168,'Institution Evaluation'!$A$56:$K$345,7,0)&amp;""</f>
        <v>Yes</v>
      </c>
      <c r="H168" s="4" t="str">
        <f>VLOOKUP($A168,'Institution Evaluation'!$A$56:$K$345,8,0)&amp;""</f>
        <v/>
      </c>
      <c r="I168" s="4" t="str">
        <f>VLOOKUP($A168,'Institution Evaluation'!$A$56:$K$345,9,0)&amp;""</f>
        <v>Standard Importance</v>
      </c>
      <c r="J168" s="4" t="str">
        <f>VLOOKUP($A168,'Institution Evaluation'!$A$56:$K$345,10,0)&amp;""</f>
        <v/>
      </c>
      <c r="K168" s="4">
        <f>IF($I168='Auto Responses'!$J$11,20,IF($I168='Auto Responses'!$J$13,5,10))</f>
        <v>10</v>
      </c>
      <c r="L168" s="105">
        <f>IF($E168='Auto Responses'!$L$13, 'Auto Responses'!$J$5,IF(AND($D168='Auto Responses'!$J$27,$H168=""),'Auto Responses'!$J$5,IF(AND($D168='Auto Responses'!$J$27,$H168='Auto Responses'!$J$7),1,IF(AND($D168='Auto Responses'!$J$27,$H168='Auto Responses'!$J$8),0,IF(OR(AND($F168=$G168,$H168=""),$H168='Auto Responses'!$J$7),1,0)))))</f>
        <v>1</v>
      </c>
      <c r="M168" s="4" t="str">
        <f>VLOOKUP($A168,'Institution Evaluation'!$A$56:$K$345,11,0)&amp;""</f>
        <v>FALSE</v>
      </c>
      <c r="N168" s="4">
        <f>IF($J168='Auto Responses'!$J$11,1,IF(AND($J168="",$I168='Auto Responses'!$J$11),1,0))</f>
        <v>0</v>
      </c>
      <c r="O168" s="105">
        <f>IF(OR($E168='Auto Responses'!$L$13,$F168='Auto Responses'!$J$5),'Auto Responses'!$J$5,IF($J168="",$K168,IF($J168='Auto Responses'!$J$13,5,IF($J168='Auto Responses'!$J$12,10,IF($J168='Auto Responses'!$J$11,20,0)))))</f>
        <v>10</v>
      </c>
      <c r="P168" s="105">
        <f>IF(OR($O168='Auto Responses'!$J$5,$L168='Auto Responses'!$J$5),'Auto Responses'!$J$5,$O168*$L168)</f>
        <v>10</v>
      </c>
      <c r="Q168" s="105">
        <f t="shared" si="14"/>
        <v>0</v>
      </c>
      <c r="R168" s="105">
        <f t="shared" si="19"/>
        <v>0</v>
      </c>
      <c r="S168" s="105">
        <f t="shared" si="15"/>
        <v>0</v>
      </c>
      <c r="T168" s="105">
        <f t="shared" si="16"/>
        <v>0</v>
      </c>
      <c r="U168" s="105">
        <f t="shared" si="20"/>
        <v>52</v>
      </c>
      <c r="V168" s="105">
        <f t="shared" si="17"/>
        <v>0</v>
      </c>
    </row>
    <row r="169" spans="1:22" ht="56" x14ac:dyDescent="0.3">
      <c r="A169" s="4" t="str">
        <f>Questions!$A169</f>
        <v>PPPR-08</v>
      </c>
      <c r="B169" s="4" t="str">
        <f t="shared" si="18"/>
        <v>PPPR</v>
      </c>
      <c r="C169" s="4" t="str">
        <f>VLOOKUP($A169,Questions!$A$3:$L$333,2,0)&amp;""</f>
        <v>Do you have a documented information security policy?</v>
      </c>
      <c r="D169" s="4" t="str">
        <f>VLOOKUP($A169,Questions!$A$3:$L$333,11,0)&amp;""</f>
        <v/>
      </c>
      <c r="E169" s="4" t="str">
        <f>VLOOKUP($A169,Questions!$A$3:$L$333,12,0)&amp;""</f>
        <v>Organization</v>
      </c>
      <c r="F169" s="4" t="str">
        <f>VLOOKUP($A169,'Institution Evaluation'!$A$56:$K$345,3,0)&amp;""</f>
        <v>Yes</v>
      </c>
      <c r="G169" s="4" t="str">
        <f>VLOOKUP($A169,'Institution Evaluation'!$A$56:$K$345,7,0)&amp;""</f>
        <v>Yes</v>
      </c>
      <c r="H169" s="4" t="str">
        <f>VLOOKUP($A169,'Institution Evaluation'!$A$56:$K$345,8,0)&amp;""</f>
        <v/>
      </c>
      <c r="I169" s="4" t="str">
        <f>VLOOKUP($A169,'Institution Evaluation'!$A$56:$K$345,9,0)&amp;""</f>
        <v>Standard Importance</v>
      </c>
      <c r="J169" s="4" t="str">
        <f>VLOOKUP($A169,'Institution Evaluation'!$A$56:$K$345,10,0)&amp;""</f>
        <v/>
      </c>
      <c r="K169" s="4">
        <f>IF($I169='Auto Responses'!$J$11,20,IF($I169='Auto Responses'!$J$13,5,10))</f>
        <v>10</v>
      </c>
      <c r="L169" s="105">
        <f>IF($E169='Auto Responses'!$L$13, 'Auto Responses'!$J$5,IF(AND($D169='Auto Responses'!$J$27,$H169=""),'Auto Responses'!$J$5,IF(AND($D169='Auto Responses'!$J$27,$H169='Auto Responses'!$J$7),1,IF(AND($D169='Auto Responses'!$J$27,$H169='Auto Responses'!$J$8),0,IF(OR(AND($F169=$G169,$H169=""),$H169='Auto Responses'!$J$7),1,0)))))</f>
        <v>1</v>
      </c>
      <c r="M169" s="4" t="str">
        <f>VLOOKUP($A169,'Institution Evaluation'!$A$56:$K$345,11,0)&amp;""</f>
        <v>FALSE</v>
      </c>
      <c r="N169" s="4">
        <f>IF($J169='Auto Responses'!$J$11,1,IF(AND($J169="",$I169='Auto Responses'!$J$11),1,0))</f>
        <v>0</v>
      </c>
      <c r="O169" s="105">
        <f>IF(OR($E169='Auto Responses'!$L$13,$F169='Auto Responses'!$J$5),'Auto Responses'!$J$5,IF($J169="",$K169,IF($J169='Auto Responses'!$J$13,5,IF($J169='Auto Responses'!$J$12,10,IF($J169='Auto Responses'!$J$11,20,0)))))</f>
        <v>10</v>
      </c>
      <c r="P169" s="105">
        <f>IF(OR($O169='Auto Responses'!$J$5,$L169='Auto Responses'!$J$5),'Auto Responses'!$J$5,$O169*$L169)</f>
        <v>10</v>
      </c>
      <c r="Q169" s="105">
        <f t="shared" si="14"/>
        <v>0</v>
      </c>
      <c r="R169" s="105">
        <f t="shared" si="19"/>
        <v>0</v>
      </c>
      <c r="S169" s="105">
        <f t="shared" si="15"/>
        <v>0</v>
      </c>
      <c r="T169" s="105">
        <f t="shared" si="16"/>
        <v>0</v>
      </c>
      <c r="U169" s="105">
        <f t="shared" si="20"/>
        <v>52</v>
      </c>
      <c r="V169" s="105">
        <f t="shared" si="17"/>
        <v>0</v>
      </c>
    </row>
    <row r="170" spans="1:22" ht="56" x14ac:dyDescent="0.3">
      <c r="A170" s="4" t="str">
        <f>Questions!$A170</f>
        <v>PPPR-09</v>
      </c>
      <c r="B170" s="4" t="str">
        <f t="shared" si="18"/>
        <v>PPPR</v>
      </c>
      <c r="C170" s="4" t="str">
        <f>VLOOKUP($A170,Questions!$A$3:$L$333,2,0)&amp;""</f>
        <v>Are information security principles designed into the product lifecycle?</v>
      </c>
      <c r="D170" s="4" t="str">
        <f>VLOOKUP($A170,Questions!$A$3:$L$333,11,0)&amp;""</f>
        <v/>
      </c>
      <c r="E170" s="4" t="str">
        <f>VLOOKUP($A170,Questions!$A$3:$L$333,12,0)&amp;""</f>
        <v>Organization</v>
      </c>
      <c r="F170" s="4" t="str">
        <f>VLOOKUP($A170,'Institution Evaluation'!$A$56:$K$345,3,0)&amp;""</f>
        <v>Yes</v>
      </c>
      <c r="G170" s="4" t="str">
        <f>VLOOKUP($A170,'Institution Evaluation'!$A$56:$K$345,7,0)&amp;""</f>
        <v>Yes</v>
      </c>
      <c r="H170" s="4" t="str">
        <f>VLOOKUP($A170,'Institution Evaluation'!$A$56:$K$345,8,0)&amp;""</f>
        <v/>
      </c>
      <c r="I170" s="4" t="str">
        <f>VLOOKUP($A170,'Institution Evaluation'!$A$56:$K$345,9,0)&amp;""</f>
        <v>Minor Importance</v>
      </c>
      <c r="J170" s="4" t="str">
        <f>VLOOKUP($A170,'Institution Evaluation'!$A$56:$K$345,10,0)&amp;""</f>
        <v/>
      </c>
      <c r="K170" s="4">
        <f>IF($I170='Auto Responses'!$J$11,20,IF($I170='Auto Responses'!$J$13,5,10))</f>
        <v>5</v>
      </c>
      <c r="L170" s="105">
        <f>IF($E170='Auto Responses'!$L$13, 'Auto Responses'!$J$5,IF(AND($D170='Auto Responses'!$J$27,$H170=""),'Auto Responses'!$J$5,IF(AND($D170='Auto Responses'!$J$27,$H170='Auto Responses'!$J$7),1,IF(AND($D170='Auto Responses'!$J$27,$H170='Auto Responses'!$J$8),0,IF(OR(AND($F170=$G170,$H170=""),$H170='Auto Responses'!$J$7),1,0)))))</f>
        <v>1</v>
      </c>
      <c r="M170" s="4" t="str">
        <f>VLOOKUP($A170,'Institution Evaluation'!$A$56:$K$345,11,0)&amp;""</f>
        <v>FALSE</v>
      </c>
      <c r="N170" s="4">
        <f>IF($J170='Auto Responses'!$J$11,1,IF(AND($J170="",$I170='Auto Responses'!$J$11),1,0))</f>
        <v>0</v>
      </c>
      <c r="O170" s="105">
        <f>IF(OR($E170='Auto Responses'!$L$13,$F170='Auto Responses'!$J$5),'Auto Responses'!$J$5,IF($J170="",$K170,IF($J170='Auto Responses'!$J$13,5,IF($J170='Auto Responses'!$J$12,10,IF($J170='Auto Responses'!$J$11,20,0)))))</f>
        <v>5</v>
      </c>
      <c r="P170" s="105">
        <f>IF(OR($O170='Auto Responses'!$J$5,$L170='Auto Responses'!$J$5),'Auto Responses'!$J$5,$O170*$L170)</f>
        <v>5</v>
      </c>
      <c r="Q170" s="105">
        <f t="shared" si="14"/>
        <v>0</v>
      </c>
      <c r="R170" s="105">
        <f t="shared" si="19"/>
        <v>0</v>
      </c>
      <c r="S170" s="105">
        <f t="shared" si="15"/>
        <v>0</v>
      </c>
      <c r="T170" s="105">
        <f t="shared" si="16"/>
        <v>0</v>
      </c>
      <c r="U170" s="105">
        <f t="shared" si="20"/>
        <v>52</v>
      </c>
      <c r="V170" s="105">
        <f t="shared" si="17"/>
        <v>0</v>
      </c>
    </row>
    <row r="171" spans="1:22" ht="56" x14ac:dyDescent="0.3">
      <c r="A171" s="4" t="str">
        <f>Questions!$A171</f>
        <v>PPPR-10</v>
      </c>
      <c r="B171" s="4" t="str">
        <f t="shared" si="18"/>
        <v>PPPR</v>
      </c>
      <c r="C171" s="4" t="str">
        <f>VLOOKUP($A171,Questions!$A$3:$L$333,2,0)&amp;""</f>
        <v>Will you comply with applicable breach notification laws?</v>
      </c>
      <c r="D171" s="4" t="str">
        <f>VLOOKUP($A171,Questions!$A$3:$L$333,11,0)&amp;""</f>
        <v/>
      </c>
      <c r="E171" s="4" t="str">
        <f>VLOOKUP($A171,Questions!$A$3:$L$333,12,0)&amp;""</f>
        <v>Organization</v>
      </c>
      <c r="F171" s="4" t="str">
        <f>VLOOKUP($A171,'Institution Evaluation'!$A$56:$K$345,3,0)&amp;""</f>
        <v>Yes</v>
      </c>
      <c r="G171" s="4" t="str">
        <f>VLOOKUP($A171,'Institution Evaluation'!$A$56:$K$345,7,0)&amp;""</f>
        <v>Yes</v>
      </c>
      <c r="H171" s="4" t="str">
        <f>VLOOKUP($A171,'Institution Evaluation'!$A$56:$K$345,8,0)&amp;""</f>
        <v/>
      </c>
      <c r="I171" s="4" t="str">
        <f>VLOOKUP($A171,'Institution Evaluation'!$A$56:$K$345,9,0)&amp;""</f>
        <v>Minor Importance</v>
      </c>
      <c r="J171" s="4" t="str">
        <f>VLOOKUP($A171,'Institution Evaluation'!$A$56:$K$345,10,0)&amp;""</f>
        <v/>
      </c>
      <c r="K171" s="4">
        <f>IF($I171='Auto Responses'!$J$11,20,IF($I171='Auto Responses'!$J$13,5,10))</f>
        <v>5</v>
      </c>
      <c r="L171" s="105">
        <f>IF($E171='Auto Responses'!$L$13, 'Auto Responses'!$J$5,IF(AND($D171='Auto Responses'!$J$27,$H171=""),'Auto Responses'!$J$5,IF(AND($D171='Auto Responses'!$J$27,$H171='Auto Responses'!$J$7),1,IF(AND($D171='Auto Responses'!$J$27,$H171='Auto Responses'!$J$8),0,IF(OR(AND($F171=$G171,$H171=""),$H171='Auto Responses'!$J$7),1,0)))))</f>
        <v>1</v>
      </c>
      <c r="M171" s="4" t="str">
        <f>VLOOKUP($A171,'Institution Evaluation'!$A$56:$K$345,11,0)&amp;""</f>
        <v>FALSE</v>
      </c>
      <c r="N171" s="4">
        <f>IF($J171='Auto Responses'!$J$11,1,IF(AND($J171="",$I171='Auto Responses'!$J$11),1,0))</f>
        <v>0</v>
      </c>
      <c r="O171" s="105">
        <f>IF(OR($E171='Auto Responses'!$L$13,$F171='Auto Responses'!$J$5),'Auto Responses'!$J$5,IF($J171="",$K171,IF($J171='Auto Responses'!$J$13,5,IF($J171='Auto Responses'!$J$12,10,IF($J171='Auto Responses'!$J$11,20,0)))))</f>
        <v>5</v>
      </c>
      <c r="P171" s="105">
        <f>IF(OR($O171='Auto Responses'!$J$5,$L171='Auto Responses'!$J$5),'Auto Responses'!$J$5,$O171*$L171)</f>
        <v>5</v>
      </c>
      <c r="Q171" s="105">
        <f t="shared" si="14"/>
        <v>0</v>
      </c>
      <c r="R171" s="105">
        <f t="shared" si="19"/>
        <v>0</v>
      </c>
      <c r="S171" s="105">
        <f t="shared" si="15"/>
        <v>0</v>
      </c>
      <c r="T171" s="105">
        <f t="shared" si="16"/>
        <v>0</v>
      </c>
      <c r="U171" s="105">
        <f t="shared" si="20"/>
        <v>52</v>
      </c>
      <c r="V171" s="105">
        <f t="shared" si="17"/>
        <v>0</v>
      </c>
    </row>
    <row r="172" spans="1:22" ht="56" x14ac:dyDescent="0.3">
      <c r="A172" s="4" t="str">
        <f>Questions!$A172</f>
        <v>PPPR-11</v>
      </c>
      <c r="B172" s="4" t="str">
        <f t="shared" si="18"/>
        <v>PPPR</v>
      </c>
      <c r="C172" s="4" t="str">
        <f>VLOOKUP($A172,Questions!$A$3:$L$333,2,0)&amp;""</f>
        <v>Do you have an information security awareness program?</v>
      </c>
      <c r="D172" s="4" t="str">
        <f>VLOOKUP($A172,Questions!$A$3:$L$333,11,0)&amp;""</f>
        <v/>
      </c>
      <c r="E172" s="4" t="str">
        <f>VLOOKUP($A172,Questions!$A$3:$L$333,12,0)&amp;""</f>
        <v>Organization</v>
      </c>
      <c r="F172" s="4" t="str">
        <f>VLOOKUP($A172,'Institution Evaluation'!$A$56:$K$345,3,0)&amp;""</f>
        <v>Yes</v>
      </c>
      <c r="G172" s="4" t="str">
        <f>VLOOKUP($A172,'Institution Evaluation'!$A$56:$K$345,7,0)&amp;""</f>
        <v>Yes</v>
      </c>
      <c r="H172" s="4" t="str">
        <f>VLOOKUP($A172,'Institution Evaluation'!$A$56:$K$345,8,0)&amp;""</f>
        <v/>
      </c>
      <c r="I172" s="4" t="str">
        <f>VLOOKUP($A172,'Institution Evaluation'!$A$56:$K$345,9,0)&amp;""</f>
        <v>Minor Importance</v>
      </c>
      <c r="J172" s="4" t="str">
        <f>VLOOKUP($A172,'Institution Evaluation'!$A$56:$K$345,10,0)&amp;""</f>
        <v/>
      </c>
      <c r="K172" s="4">
        <f>IF($I172='Auto Responses'!$J$11,20,IF($I172='Auto Responses'!$J$13,5,10))</f>
        <v>5</v>
      </c>
      <c r="L172" s="105">
        <f>IF($E172='Auto Responses'!$L$13, 'Auto Responses'!$J$5,IF(AND($D172='Auto Responses'!$J$27,$H172=""),'Auto Responses'!$J$5,IF(AND($D172='Auto Responses'!$J$27,$H172='Auto Responses'!$J$7),1,IF(AND($D172='Auto Responses'!$J$27,$H172='Auto Responses'!$J$8),0,IF(OR(AND($F172=$G172,$H172=""),$H172='Auto Responses'!$J$7),1,0)))))</f>
        <v>1</v>
      </c>
      <c r="M172" s="4" t="str">
        <f>VLOOKUP($A172,'Institution Evaluation'!$A$56:$K$345,11,0)&amp;""</f>
        <v>FALSE</v>
      </c>
      <c r="N172" s="4">
        <f>IF($J172='Auto Responses'!$J$11,1,IF(AND($J172="",$I172='Auto Responses'!$J$11),1,0))</f>
        <v>0</v>
      </c>
      <c r="O172" s="105">
        <f>IF(OR($E172='Auto Responses'!$L$13,$F172='Auto Responses'!$J$5),'Auto Responses'!$J$5,IF($J172="",$K172,IF($J172='Auto Responses'!$J$13,5,IF($J172='Auto Responses'!$J$12,10,IF($J172='Auto Responses'!$J$11,20,0)))))</f>
        <v>5</v>
      </c>
      <c r="P172" s="105">
        <f>IF(OR($O172='Auto Responses'!$J$5,$L172='Auto Responses'!$J$5),'Auto Responses'!$J$5,$O172*$L172)</f>
        <v>5</v>
      </c>
      <c r="Q172" s="105">
        <f t="shared" si="14"/>
        <v>0</v>
      </c>
      <c r="R172" s="105">
        <f t="shared" si="19"/>
        <v>0</v>
      </c>
      <c r="S172" s="105">
        <f t="shared" si="15"/>
        <v>0</v>
      </c>
      <c r="T172" s="105">
        <f t="shared" si="16"/>
        <v>0</v>
      </c>
      <c r="U172" s="105">
        <f t="shared" si="20"/>
        <v>52</v>
      </c>
      <c r="V172" s="105">
        <f t="shared" si="17"/>
        <v>0</v>
      </c>
    </row>
    <row r="173" spans="1:22" ht="56" x14ac:dyDescent="0.3">
      <c r="A173" s="4" t="str">
        <f>Questions!$A173</f>
        <v>PPPR-12</v>
      </c>
      <c r="B173" s="4" t="str">
        <f t="shared" si="18"/>
        <v>PPPR</v>
      </c>
      <c r="C173" s="4" t="str">
        <f>VLOOKUP($A173,Questions!$A$3:$L$333,2,0)&amp;""</f>
        <v>Is security awareness training mandatory for all employees?</v>
      </c>
      <c r="D173" s="4" t="str">
        <f>VLOOKUP($A173,Questions!$A$3:$L$333,11,0)&amp;""</f>
        <v/>
      </c>
      <c r="E173" s="4" t="str">
        <f>VLOOKUP($A173,Questions!$A$3:$L$333,12,0)&amp;""</f>
        <v>Organization</v>
      </c>
      <c r="F173" s="4" t="str">
        <f>VLOOKUP($A173,'Institution Evaluation'!$A$56:$K$345,3,0)&amp;""</f>
        <v>Yes</v>
      </c>
      <c r="G173" s="4" t="str">
        <f>VLOOKUP($A173,'Institution Evaluation'!$A$56:$K$345,7,0)&amp;""</f>
        <v>Yes</v>
      </c>
      <c r="H173" s="4" t="str">
        <f>VLOOKUP($A173,'Institution Evaluation'!$A$56:$K$345,8,0)&amp;""</f>
        <v/>
      </c>
      <c r="I173" s="4" t="str">
        <f>VLOOKUP($A173,'Institution Evaluation'!$A$56:$K$345,9,0)&amp;""</f>
        <v>Minor Importance</v>
      </c>
      <c r="J173" s="4" t="str">
        <f>VLOOKUP($A173,'Institution Evaluation'!$A$56:$K$345,10,0)&amp;""</f>
        <v/>
      </c>
      <c r="K173" s="4">
        <f>IF($I173='Auto Responses'!$J$11,20,IF($I173='Auto Responses'!$J$13,5,10))</f>
        <v>5</v>
      </c>
      <c r="L173" s="105">
        <f>IF($E173='Auto Responses'!$L$13, 'Auto Responses'!$J$5,IF(AND($D173='Auto Responses'!$J$27,$H173=""),'Auto Responses'!$J$5,IF(AND($D173='Auto Responses'!$J$27,$H173='Auto Responses'!$J$7),1,IF(AND($D173='Auto Responses'!$J$27,$H173='Auto Responses'!$J$8),0,IF(OR(AND($F173=$G173,$H173=""),$H173='Auto Responses'!$J$7),1,0)))))</f>
        <v>1</v>
      </c>
      <c r="M173" s="4" t="str">
        <f>VLOOKUP($A173,'Institution Evaluation'!$A$56:$K$345,11,0)&amp;""</f>
        <v>FALSE</v>
      </c>
      <c r="N173" s="4">
        <f>IF($J173='Auto Responses'!$J$11,1,IF(AND($J173="",$I173='Auto Responses'!$J$11),1,0))</f>
        <v>0</v>
      </c>
      <c r="O173" s="105">
        <f>IF(OR($E173='Auto Responses'!$L$13,$F173='Auto Responses'!$J$5),'Auto Responses'!$J$5,IF($J173="",$K173,IF($J173='Auto Responses'!$J$13,5,IF($J173='Auto Responses'!$J$12,10,IF($J173='Auto Responses'!$J$11,20,0)))))</f>
        <v>5</v>
      </c>
      <c r="P173" s="105">
        <f>IF(OR($O173='Auto Responses'!$J$5,$L173='Auto Responses'!$J$5),'Auto Responses'!$J$5,$O173*$L173)</f>
        <v>5</v>
      </c>
      <c r="Q173" s="105">
        <f t="shared" si="14"/>
        <v>0</v>
      </c>
      <c r="R173" s="105">
        <f t="shared" si="19"/>
        <v>0</v>
      </c>
      <c r="S173" s="105">
        <f t="shared" si="15"/>
        <v>0</v>
      </c>
      <c r="T173" s="105">
        <f t="shared" si="16"/>
        <v>0</v>
      </c>
      <c r="U173" s="105">
        <f t="shared" si="20"/>
        <v>52</v>
      </c>
      <c r="V173" s="105">
        <f t="shared" si="17"/>
        <v>0</v>
      </c>
    </row>
    <row r="174" spans="1:22" ht="56" x14ac:dyDescent="0.3">
      <c r="A174" s="4" t="str">
        <f>Questions!$A174</f>
        <v>PPPR-13</v>
      </c>
      <c r="B174" s="4" t="str">
        <f t="shared" si="18"/>
        <v>PPPR</v>
      </c>
      <c r="C174" s="4" t="str">
        <f>VLOOKUP($A174,Questions!$A$3:$L$333,2,0)&amp;""</f>
        <v>Do you have process and procedure(s) documented, and currently followed, that require a review and update of the access list(s) for privileged accounts?</v>
      </c>
      <c r="D174" s="4" t="str">
        <f>VLOOKUP($A174,Questions!$A$3:$L$333,11,0)&amp;""</f>
        <v/>
      </c>
      <c r="E174" s="4" t="str">
        <f>VLOOKUP($A174,Questions!$A$3:$L$333,12,0)&amp;""</f>
        <v>Organization</v>
      </c>
      <c r="F174" s="4" t="str">
        <f>VLOOKUP($A174,'Institution Evaluation'!$A$56:$K$345,3,0)&amp;""</f>
        <v>Yes</v>
      </c>
      <c r="G174" s="4" t="str">
        <f>VLOOKUP($A174,'Institution Evaluation'!$A$56:$K$345,7,0)&amp;""</f>
        <v>Yes</v>
      </c>
      <c r="H174" s="4" t="str">
        <f>VLOOKUP($A174,'Institution Evaluation'!$A$56:$K$345,8,0)&amp;""</f>
        <v/>
      </c>
      <c r="I174" s="4" t="str">
        <f>VLOOKUP($A174,'Institution Evaluation'!$A$56:$K$345,9,0)&amp;""</f>
        <v>Minor Importance</v>
      </c>
      <c r="J174" s="4" t="str">
        <f>VLOOKUP($A174,'Institution Evaluation'!$A$56:$K$345,10,0)&amp;""</f>
        <v/>
      </c>
      <c r="K174" s="4">
        <f>IF($I174='Auto Responses'!$J$11,20,IF($I174='Auto Responses'!$J$13,5,10))</f>
        <v>5</v>
      </c>
      <c r="L174" s="105">
        <f>IF($E174='Auto Responses'!$L$13, 'Auto Responses'!$J$5,IF(AND($D174='Auto Responses'!$J$27,$H174=""),'Auto Responses'!$J$5,IF(AND($D174='Auto Responses'!$J$27,$H174='Auto Responses'!$J$7),1,IF(AND($D174='Auto Responses'!$J$27,$H174='Auto Responses'!$J$8),0,IF(OR(AND($F174=$G174,$H174=""),$H174='Auto Responses'!$J$7),1,0)))))</f>
        <v>1</v>
      </c>
      <c r="M174" s="4" t="str">
        <f>VLOOKUP($A174,'Institution Evaluation'!$A$56:$K$345,11,0)&amp;""</f>
        <v>FALSE</v>
      </c>
      <c r="N174" s="4">
        <f>IF($J174='Auto Responses'!$J$11,1,IF(AND($J174="",$I174='Auto Responses'!$J$11),1,0))</f>
        <v>0</v>
      </c>
      <c r="O174" s="105">
        <f>IF(OR($E174='Auto Responses'!$L$13,$F174='Auto Responses'!$J$5),'Auto Responses'!$J$5,IF($J174="",$K174,IF($J174='Auto Responses'!$J$13,5,IF($J174='Auto Responses'!$J$12,10,IF($J174='Auto Responses'!$J$11,20,0)))))</f>
        <v>5</v>
      </c>
      <c r="P174" s="105">
        <f>IF(OR($O174='Auto Responses'!$J$5,$L174='Auto Responses'!$J$5),'Auto Responses'!$J$5,$O174*$L174)</f>
        <v>5</v>
      </c>
      <c r="Q174" s="105">
        <f t="shared" si="14"/>
        <v>0</v>
      </c>
      <c r="R174" s="105">
        <f t="shared" si="19"/>
        <v>0</v>
      </c>
      <c r="S174" s="105">
        <f t="shared" si="15"/>
        <v>0</v>
      </c>
      <c r="T174" s="105">
        <f t="shared" si="16"/>
        <v>0</v>
      </c>
      <c r="U174" s="105">
        <f t="shared" si="20"/>
        <v>52</v>
      </c>
      <c r="V174" s="105">
        <f t="shared" si="17"/>
        <v>0</v>
      </c>
    </row>
    <row r="175" spans="1:22" ht="56" x14ac:dyDescent="0.3">
      <c r="A175" s="4" t="str">
        <f>Questions!$A175</f>
        <v>PPPR-14</v>
      </c>
      <c r="B175" s="4" t="str">
        <f t="shared" si="18"/>
        <v>PPPR</v>
      </c>
      <c r="C175" s="4" t="str">
        <f>VLOOKUP($A175,Questions!$A$3:$L$333,2,0)&amp;""</f>
        <v>Do you have documented, and currently implemented, internal audit processes and procedures?</v>
      </c>
      <c r="D175" s="4" t="str">
        <f>VLOOKUP($A175,Questions!$A$3:$L$333,11,0)&amp;""</f>
        <v/>
      </c>
      <c r="E175" s="4" t="str">
        <f>VLOOKUP($A175,Questions!$A$3:$L$333,12,0)&amp;""</f>
        <v>Organization</v>
      </c>
      <c r="F175" s="4" t="str">
        <f>VLOOKUP($A175,'Institution Evaluation'!$A$56:$K$345,3,0)&amp;""</f>
        <v>Yes</v>
      </c>
      <c r="G175" s="4" t="str">
        <f>VLOOKUP($A175,'Institution Evaluation'!$A$56:$K$345,7,0)&amp;""</f>
        <v>Yes</v>
      </c>
      <c r="H175" s="4" t="str">
        <f>VLOOKUP($A175,'Institution Evaluation'!$A$56:$K$345,8,0)&amp;""</f>
        <v/>
      </c>
      <c r="I175" s="4" t="str">
        <f>VLOOKUP($A175,'Institution Evaluation'!$A$56:$K$345,9,0)&amp;""</f>
        <v>Minor Importance</v>
      </c>
      <c r="J175" s="4" t="str">
        <f>VLOOKUP($A175,'Institution Evaluation'!$A$56:$K$345,10,0)&amp;""</f>
        <v/>
      </c>
      <c r="K175" s="4">
        <f>IF($I175='Auto Responses'!$J$11,20,IF($I175='Auto Responses'!$J$13,5,10))</f>
        <v>5</v>
      </c>
      <c r="L175" s="105">
        <f>IF($E175='Auto Responses'!$L$13, 'Auto Responses'!$J$5,IF(AND($D175='Auto Responses'!$J$27,$H175=""),'Auto Responses'!$J$5,IF(AND($D175='Auto Responses'!$J$27,$H175='Auto Responses'!$J$7),1,IF(AND($D175='Auto Responses'!$J$27,$H175='Auto Responses'!$J$8),0,IF(OR(AND($F175=$G175,$H175=""),$H175='Auto Responses'!$J$7),1,0)))))</f>
        <v>1</v>
      </c>
      <c r="M175" s="4" t="str">
        <f>VLOOKUP($A175,'Institution Evaluation'!$A$56:$K$345,11,0)&amp;""</f>
        <v>FALSE</v>
      </c>
      <c r="N175" s="4">
        <f>IF($J175='Auto Responses'!$J$11,1,IF(AND($J175="",$I175='Auto Responses'!$J$11),1,0))</f>
        <v>0</v>
      </c>
      <c r="O175" s="105">
        <f>IF(OR($E175='Auto Responses'!$L$13,$F175='Auto Responses'!$J$5),'Auto Responses'!$J$5,IF($J175="",$K175,IF($J175='Auto Responses'!$J$13,5,IF($J175='Auto Responses'!$J$12,10,IF($J175='Auto Responses'!$J$11,20,0)))))</f>
        <v>5</v>
      </c>
      <c r="P175" s="105">
        <f>IF(OR($O175='Auto Responses'!$J$5,$L175='Auto Responses'!$J$5),'Auto Responses'!$J$5,$O175*$L175)</f>
        <v>5</v>
      </c>
      <c r="Q175" s="105">
        <f t="shared" si="14"/>
        <v>0</v>
      </c>
      <c r="R175" s="105">
        <f t="shared" si="19"/>
        <v>0</v>
      </c>
      <c r="S175" s="105">
        <f t="shared" si="15"/>
        <v>0</v>
      </c>
      <c r="T175" s="105">
        <f t="shared" si="16"/>
        <v>0</v>
      </c>
      <c r="U175" s="105">
        <f t="shared" si="20"/>
        <v>52</v>
      </c>
      <c r="V175" s="105">
        <f t="shared" si="17"/>
        <v>0</v>
      </c>
    </row>
    <row r="176" spans="1:22" ht="56" x14ac:dyDescent="0.3">
      <c r="A176" s="4" t="str">
        <f>Questions!$A176</f>
        <v>PPPR-15</v>
      </c>
      <c r="B176" s="4" t="str">
        <f t="shared" si="18"/>
        <v>PPPR</v>
      </c>
      <c r="C176" s="4" t="str">
        <f>VLOOKUP($A176,Questions!$A$3:$L$333,2,0)&amp;""</f>
        <v>Does your organization have physical security controls and policies in place?</v>
      </c>
      <c r="D176" s="4" t="str">
        <f>VLOOKUP($A176,Questions!$A$3:$L$333,11,0)&amp;""</f>
        <v/>
      </c>
      <c r="E176" s="4" t="str">
        <f>VLOOKUP($A176,Questions!$A$3:$L$333,12,0)&amp;""</f>
        <v>Organization</v>
      </c>
      <c r="F176" s="4" t="str">
        <f>VLOOKUP($A176,'Institution Evaluation'!$A$56:$K$345,3,0)&amp;""</f>
        <v>Yes</v>
      </c>
      <c r="G176" s="4" t="str">
        <f>VLOOKUP($A176,'Institution Evaluation'!$A$56:$K$345,7,0)&amp;""</f>
        <v>Yes</v>
      </c>
      <c r="H176" s="4" t="str">
        <f>VLOOKUP($A176,'Institution Evaluation'!$A$56:$K$345,8,0)&amp;""</f>
        <v/>
      </c>
      <c r="I176" s="4" t="str">
        <f>VLOOKUP($A176,'Institution Evaluation'!$A$56:$K$345,9,0)&amp;""</f>
        <v>Minor Importance</v>
      </c>
      <c r="J176" s="4" t="str">
        <f>VLOOKUP($A176,'Institution Evaluation'!$A$56:$K$345,10,0)&amp;""</f>
        <v/>
      </c>
      <c r="K176" s="4">
        <f>IF($I176='Auto Responses'!$J$11,20,IF($I176='Auto Responses'!$J$13,5,10))</f>
        <v>5</v>
      </c>
      <c r="L176" s="105">
        <f>IF($E176='Auto Responses'!$L$13, 'Auto Responses'!$J$5,IF(AND($D176='Auto Responses'!$J$27,$H176=""),'Auto Responses'!$J$5,IF(AND($D176='Auto Responses'!$J$27,$H176='Auto Responses'!$J$7),1,IF(AND($D176='Auto Responses'!$J$27,$H176='Auto Responses'!$J$8),0,IF(OR(AND($F176=$G176,$H176=""),$H176='Auto Responses'!$J$7),1,0)))))</f>
        <v>1</v>
      </c>
      <c r="M176" s="4" t="str">
        <f>VLOOKUP($A176,'Institution Evaluation'!$A$56:$K$345,11,0)&amp;""</f>
        <v>FALSE</v>
      </c>
      <c r="N176" s="4">
        <f>IF($J176='Auto Responses'!$J$11,1,IF(AND($J176="",$I176='Auto Responses'!$J$11),1,0))</f>
        <v>0</v>
      </c>
      <c r="O176" s="105">
        <f>IF(OR($E176='Auto Responses'!$L$13,$F176='Auto Responses'!$J$5),'Auto Responses'!$J$5,IF($J176="",$K176,IF($J176='Auto Responses'!$J$13,5,IF($J176='Auto Responses'!$J$12,10,IF($J176='Auto Responses'!$J$11,20,0)))))</f>
        <v>5</v>
      </c>
      <c r="P176" s="105">
        <f>IF(OR($O176='Auto Responses'!$J$5,$L176='Auto Responses'!$J$5),'Auto Responses'!$J$5,$O176*$L176)</f>
        <v>5</v>
      </c>
      <c r="Q176" s="105">
        <f t="shared" si="14"/>
        <v>0</v>
      </c>
      <c r="R176" s="105">
        <f t="shared" si="19"/>
        <v>0</v>
      </c>
      <c r="S176" s="105">
        <f t="shared" si="15"/>
        <v>0</v>
      </c>
      <c r="T176" s="105">
        <f t="shared" si="16"/>
        <v>0</v>
      </c>
      <c r="U176" s="105">
        <f t="shared" si="20"/>
        <v>52</v>
      </c>
      <c r="V176" s="105">
        <f t="shared" si="17"/>
        <v>0</v>
      </c>
    </row>
    <row r="177" spans="1:22" ht="56" x14ac:dyDescent="0.3">
      <c r="A177" s="4" t="str">
        <f>Questions!$A177</f>
        <v>HFIH-01</v>
      </c>
      <c r="B177" s="4" t="str">
        <f t="shared" si="18"/>
        <v>HFIH</v>
      </c>
      <c r="C177" s="4" t="str">
        <f>VLOOKUP($A177,Questions!$A$3:$L$333,2,0)&amp;""</f>
        <v>Do you have a formal incident response plan?</v>
      </c>
      <c r="D177" s="4" t="str">
        <f>VLOOKUP($A177,Questions!$A$3:$L$333,11,0)&amp;""</f>
        <v/>
      </c>
      <c r="E177" s="4" t="str">
        <f>VLOOKUP($A177,Questions!$A$3:$L$333,12,0)&amp;""</f>
        <v>Infrastructure</v>
      </c>
      <c r="F177" s="4" t="str">
        <f>VLOOKUP($A177,'Institution Evaluation'!$A$56:$K$345,3,0)&amp;""</f>
        <v>Yes</v>
      </c>
      <c r="G177" s="4" t="str">
        <f>VLOOKUP($A177,'Institution Evaluation'!$A$56:$K$345,7,0)&amp;""</f>
        <v>Yes</v>
      </c>
      <c r="H177" s="4" t="str">
        <f>VLOOKUP($A177,'Institution Evaluation'!$A$56:$K$345,8,0)&amp;""</f>
        <v/>
      </c>
      <c r="I177" s="4" t="str">
        <f>VLOOKUP($A177,'Institution Evaluation'!$A$56:$K$345,9,0)&amp;""</f>
        <v>Standard Importance</v>
      </c>
      <c r="J177" s="4" t="str">
        <f>VLOOKUP($A177,'Institution Evaluation'!$A$56:$K$345,10,0)&amp;""</f>
        <v/>
      </c>
      <c r="K177" s="4">
        <f>IF($I177='Auto Responses'!$J$11,20,IF($I177='Auto Responses'!$J$13,5,10))</f>
        <v>10</v>
      </c>
      <c r="L177" s="105">
        <f>IF($E177='Auto Responses'!$L$13, 'Auto Responses'!$J$5,IF(AND($D177='Auto Responses'!$J$27,$H177=""),'Auto Responses'!$J$5,IF(AND($D177='Auto Responses'!$J$27,$H177='Auto Responses'!$J$7),1,IF(AND($D177='Auto Responses'!$J$27,$H177='Auto Responses'!$J$8),0,IF(OR(AND($F177=$G177,$H177=""),$H177='Auto Responses'!$J$7),1,0)))))</f>
        <v>1</v>
      </c>
      <c r="M177" s="4" t="str">
        <f>VLOOKUP($A177,'Institution Evaluation'!$A$56:$K$345,11,0)&amp;""</f>
        <v>FALSE</v>
      </c>
      <c r="N177" s="4">
        <f>IF($J177='Auto Responses'!$J$11,1,IF(AND($J177="",$I177='Auto Responses'!$J$11),1,0))</f>
        <v>0</v>
      </c>
      <c r="O177" s="105">
        <f>IF(OR($F$17='Auto Responses'!$J$4,$E177='Auto Responses'!$L$13,$F177='Auto Responses'!$J$5),'Auto Responses'!$J$5,IF($J177="",$K177,IF($J177='Auto Responses'!$J$13,5,IF($J177='Auto Responses'!$J$12,10,IF($J177='Auto Responses'!$J$11,20,0)))))</f>
        <v>10</v>
      </c>
      <c r="P177" s="105">
        <f>IF(OR($O177='Auto Responses'!$J$5,$L177='Auto Responses'!$J$5),'Auto Responses'!$J$5,$O177*$L177)</f>
        <v>10</v>
      </c>
      <c r="Q177" s="105">
        <f t="shared" si="14"/>
        <v>0</v>
      </c>
      <c r="R177" s="105">
        <f t="shared" si="19"/>
        <v>0</v>
      </c>
      <c r="S177" s="105">
        <f t="shared" si="15"/>
        <v>0</v>
      </c>
      <c r="T177" s="105">
        <f t="shared" si="16"/>
        <v>0</v>
      </c>
      <c r="U177" s="105">
        <f t="shared" si="20"/>
        <v>52</v>
      </c>
      <c r="V177" s="105">
        <f t="shared" si="17"/>
        <v>0</v>
      </c>
    </row>
    <row r="178" spans="1:22" ht="56" x14ac:dyDescent="0.3">
      <c r="A178" s="4" t="str">
        <f>Questions!$A178</f>
        <v>HFIH-02</v>
      </c>
      <c r="B178" s="4" t="str">
        <f t="shared" si="18"/>
        <v>HFIH</v>
      </c>
      <c r="C178" s="4" t="str">
        <f>VLOOKUP($A178,Questions!$A$3:$L$333,2,0)&amp;""</f>
        <v>Do you either have an internal incident response team or retain an external team?</v>
      </c>
      <c r="D178" s="4" t="str">
        <f>VLOOKUP($A178,Questions!$A$3:$L$333,11,0)&amp;""</f>
        <v/>
      </c>
      <c r="E178" s="4" t="str">
        <f>VLOOKUP($A178,Questions!$A$3:$L$333,12,0)&amp;""</f>
        <v>Infrastructure</v>
      </c>
      <c r="F178" s="4" t="str">
        <f>VLOOKUP($A178,'Institution Evaluation'!$A$56:$K$345,3,0)&amp;""</f>
        <v>Yes</v>
      </c>
      <c r="G178" s="4" t="str">
        <f>VLOOKUP($A178,'Institution Evaluation'!$A$56:$K$345,7,0)&amp;""</f>
        <v>Yes</v>
      </c>
      <c r="H178" s="4" t="str">
        <f>VLOOKUP($A178,'Institution Evaluation'!$A$56:$K$345,8,0)&amp;""</f>
        <v/>
      </c>
      <c r="I178" s="4" t="str">
        <f>VLOOKUP($A178,'Institution Evaluation'!$A$56:$K$345,9,0)&amp;""</f>
        <v>Minor Importance</v>
      </c>
      <c r="J178" s="4" t="str">
        <f>VLOOKUP($A178,'Institution Evaluation'!$A$56:$K$345,10,0)&amp;""</f>
        <v/>
      </c>
      <c r="K178" s="4">
        <f>IF($I178='Auto Responses'!$J$11,20,IF($I178='Auto Responses'!$J$13,5,10))</f>
        <v>5</v>
      </c>
      <c r="L178" s="105">
        <f>IF($E178='Auto Responses'!$L$13, 'Auto Responses'!$J$5,IF(AND($D178='Auto Responses'!$J$27,$H178=""),'Auto Responses'!$J$5,IF(AND($D178='Auto Responses'!$J$27,$H178='Auto Responses'!$J$7),1,IF(AND($D178='Auto Responses'!$J$27,$H178='Auto Responses'!$J$8),0,IF(OR(AND($F178=$G178,$H178=""),$H178='Auto Responses'!$J$7),1,0)))))</f>
        <v>1</v>
      </c>
      <c r="M178" s="4" t="str">
        <f>VLOOKUP($A178,'Institution Evaluation'!$A$56:$K$345,11,0)&amp;""</f>
        <v>FALSE</v>
      </c>
      <c r="N178" s="4">
        <f>IF($J178='Auto Responses'!$J$11,1,IF(AND($J178="",$I178='Auto Responses'!$J$11),1,0))</f>
        <v>0</v>
      </c>
      <c r="O178" s="105">
        <f>IF(OR($F$17='Auto Responses'!$J$4,$E178='Auto Responses'!$L$13,$F178='Auto Responses'!$J$5),'Auto Responses'!$J$5,IF($J178="",$K178,IF($J178='Auto Responses'!$J$13,5,IF($J178='Auto Responses'!$J$12,10,IF($J178='Auto Responses'!$J$11,20,0)))))</f>
        <v>5</v>
      </c>
      <c r="P178" s="105">
        <f>IF(OR($O178='Auto Responses'!$J$5,$L178='Auto Responses'!$J$5),'Auto Responses'!$J$5,$O178*$L178)</f>
        <v>5</v>
      </c>
      <c r="Q178" s="105">
        <f t="shared" si="14"/>
        <v>0</v>
      </c>
      <c r="R178" s="105">
        <f t="shared" si="19"/>
        <v>0</v>
      </c>
      <c r="S178" s="105">
        <f t="shared" si="15"/>
        <v>0</v>
      </c>
      <c r="T178" s="105">
        <f t="shared" si="16"/>
        <v>0</v>
      </c>
      <c r="U178" s="105">
        <f t="shared" si="20"/>
        <v>52</v>
      </c>
      <c r="V178" s="105">
        <f t="shared" si="17"/>
        <v>0</v>
      </c>
    </row>
    <row r="179" spans="1:22" ht="56" x14ac:dyDescent="0.3">
      <c r="A179" s="4" t="str">
        <f>Questions!$A179</f>
        <v>HFIH-03</v>
      </c>
      <c r="B179" s="4" t="str">
        <f t="shared" si="18"/>
        <v>HFIH</v>
      </c>
      <c r="C179" s="4" t="str">
        <f>VLOOKUP($A179,Questions!$A$3:$L$333,2,0)&amp;""</f>
        <v>Do you have the capability to respond to incidents on a 24 x 7 x 365 basis?</v>
      </c>
      <c r="D179" s="4" t="str">
        <f>VLOOKUP($A179,Questions!$A$3:$L$333,11,0)&amp;""</f>
        <v/>
      </c>
      <c r="E179" s="4" t="str">
        <f>VLOOKUP($A179,Questions!$A$3:$L$333,12,0)&amp;""</f>
        <v>Infrastructure</v>
      </c>
      <c r="F179" s="4" t="str">
        <f>VLOOKUP($A179,'Institution Evaluation'!$A$56:$K$345,3,0)&amp;""</f>
        <v>Yes</v>
      </c>
      <c r="G179" s="4" t="str">
        <f>VLOOKUP($A179,'Institution Evaluation'!$A$56:$K$345,7,0)&amp;""</f>
        <v>Yes</v>
      </c>
      <c r="H179" s="4" t="str">
        <f>VLOOKUP($A179,'Institution Evaluation'!$A$56:$K$345,8,0)&amp;""</f>
        <v/>
      </c>
      <c r="I179" s="4" t="str">
        <f>VLOOKUP($A179,'Institution Evaluation'!$A$56:$K$345,9,0)&amp;""</f>
        <v>Minor Importance</v>
      </c>
      <c r="J179" s="4" t="str">
        <f>VLOOKUP($A179,'Institution Evaluation'!$A$56:$K$345,10,0)&amp;""</f>
        <v/>
      </c>
      <c r="K179" s="4">
        <f>IF($I179='Auto Responses'!$J$11,20,IF($I179='Auto Responses'!$J$13,5,10))</f>
        <v>5</v>
      </c>
      <c r="L179" s="105">
        <f>IF($E179='Auto Responses'!$L$13, 'Auto Responses'!$J$5,IF(AND($D179='Auto Responses'!$J$27,$H179=""),'Auto Responses'!$J$5,IF(AND($D179='Auto Responses'!$J$27,$H179='Auto Responses'!$J$7),1,IF(AND($D179='Auto Responses'!$J$27,$H179='Auto Responses'!$J$8),0,IF(OR(AND($F179=$G179,$H179=""),$H179='Auto Responses'!$J$7),1,0)))))</f>
        <v>1</v>
      </c>
      <c r="M179" s="4" t="str">
        <f>VLOOKUP($A179,'Institution Evaluation'!$A$56:$K$345,11,0)&amp;""</f>
        <v>FALSE</v>
      </c>
      <c r="N179" s="4">
        <f>IF($J179='Auto Responses'!$J$11,1,IF(AND($J179="",$I179='Auto Responses'!$J$11),1,0))</f>
        <v>0</v>
      </c>
      <c r="O179" s="105">
        <f>IF(OR($F$17='Auto Responses'!$J$4,$E179='Auto Responses'!$L$13,$F179='Auto Responses'!$J$5),'Auto Responses'!$J$5,IF($J179="",$K179,IF($J179='Auto Responses'!$J$13,5,IF($J179='Auto Responses'!$J$12,10,IF($J179='Auto Responses'!$J$11,20,0)))))</f>
        <v>5</v>
      </c>
      <c r="P179" s="105">
        <f>IF(OR($O179='Auto Responses'!$J$5,$L179='Auto Responses'!$J$5),'Auto Responses'!$J$5,$O179*$L179)</f>
        <v>5</v>
      </c>
      <c r="Q179" s="105">
        <f t="shared" si="14"/>
        <v>0</v>
      </c>
      <c r="R179" s="105">
        <f t="shared" si="19"/>
        <v>0</v>
      </c>
      <c r="S179" s="105">
        <f t="shared" si="15"/>
        <v>0</v>
      </c>
      <c r="T179" s="105">
        <f t="shared" si="16"/>
        <v>0</v>
      </c>
      <c r="U179" s="105">
        <f t="shared" si="20"/>
        <v>52</v>
      </c>
      <c r="V179" s="105">
        <f t="shared" si="17"/>
        <v>0</v>
      </c>
    </row>
    <row r="180" spans="1:22" ht="56" x14ac:dyDescent="0.3">
      <c r="A180" s="4" t="str">
        <f>Questions!$A180</f>
        <v>HFIH-04</v>
      </c>
      <c r="B180" s="4" t="str">
        <f t="shared" si="18"/>
        <v>HFIH</v>
      </c>
      <c r="C180" s="4" t="str">
        <f>VLOOKUP($A180,Questions!$A$3:$L$333,2,0)&amp;""</f>
        <v>Do you carry cyber-risk insurance to protect against unforeseen service outages, data that is lost or stolen, and security incidents?</v>
      </c>
      <c r="D180" s="4" t="str">
        <f>VLOOKUP($A180,Questions!$A$3:$L$333,11,0)&amp;""</f>
        <v/>
      </c>
      <c r="E180" s="4" t="str">
        <f>VLOOKUP($A180,Questions!$A$3:$L$333,12,0)&amp;""</f>
        <v>Infrastructure</v>
      </c>
      <c r="F180" s="4" t="str">
        <f>VLOOKUP($A180,'Institution Evaluation'!$A$56:$K$345,3,0)&amp;""</f>
        <v>Yes</v>
      </c>
      <c r="G180" s="4" t="str">
        <f>VLOOKUP($A180,'Institution Evaluation'!$A$56:$K$345,7,0)&amp;""</f>
        <v>Yes</v>
      </c>
      <c r="H180" s="4" t="str">
        <f>VLOOKUP($A180,'Institution Evaluation'!$A$56:$K$345,8,0)&amp;""</f>
        <v/>
      </c>
      <c r="I180" s="4" t="str">
        <f>VLOOKUP($A180,'Institution Evaluation'!$A$56:$K$345,9,0)&amp;""</f>
        <v>Minor Importance</v>
      </c>
      <c r="J180" s="4" t="str">
        <f>VLOOKUP($A180,'Institution Evaluation'!$A$56:$K$345,10,0)&amp;""</f>
        <v/>
      </c>
      <c r="K180" s="4">
        <f>IF($I180='Auto Responses'!$J$11,20,IF($I180='Auto Responses'!$J$13,5,10))</f>
        <v>5</v>
      </c>
      <c r="L180" s="105">
        <f>IF($E180='Auto Responses'!$L$13, 'Auto Responses'!$J$5,IF(AND($D180='Auto Responses'!$J$27,$H180=""),'Auto Responses'!$J$5,IF(AND($D180='Auto Responses'!$J$27,$H180='Auto Responses'!$J$7),1,IF(AND($D180='Auto Responses'!$J$27,$H180='Auto Responses'!$J$8),0,IF(OR(AND($F180=$G180,$H180=""),$H180='Auto Responses'!$J$7),1,0)))))</f>
        <v>1</v>
      </c>
      <c r="M180" s="4" t="str">
        <f>VLOOKUP($A180,'Institution Evaluation'!$A$56:$K$345,11,0)&amp;""</f>
        <v>FALSE</v>
      </c>
      <c r="N180" s="4">
        <f>IF($J180='Auto Responses'!$J$11,1,IF(AND($J180="",$I180='Auto Responses'!$J$11),1,0))</f>
        <v>0</v>
      </c>
      <c r="O180" s="105">
        <f>IF(OR($F$17='Auto Responses'!$J$4,$E180='Auto Responses'!$L$13,$F180='Auto Responses'!$J$5),'Auto Responses'!$J$5,IF($J180="",$K180,IF($J180='Auto Responses'!$J$13,5,IF($J180='Auto Responses'!$J$12,10,IF($J180='Auto Responses'!$J$11,20,0)))))</f>
        <v>5</v>
      </c>
      <c r="P180" s="105">
        <f>IF(OR($O180='Auto Responses'!$J$5,$L180='Auto Responses'!$J$5),'Auto Responses'!$J$5,$O180*$L180)</f>
        <v>5</v>
      </c>
      <c r="Q180" s="105">
        <f t="shared" si="14"/>
        <v>0</v>
      </c>
      <c r="R180" s="105">
        <f t="shared" si="19"/>
        <v>0</v>
      </c>
      <c r="S180" s="105">
        <f t="shared" si="15"/>
        <v>0</v>
      </c>
      <c r="T180" s="105">
        <f t="shared" si="16"/>
        <v>0</v>
      </c>
      <c r="U180" s="105">
        <f t="shared" si="20"/>
        <v>52</v>
      </c>
      <c r="V180" s="105">
        <f t="shared" si="17"/>
        <v>0</v>
      </c>
    </row>
    <row r="181" spans="1:22" ht="56" x14ac:dyDescent="0.3">
      <c r="A181" s="4" t="str">
        <f>Questions!$A181</f>
        <v>VULN-01</v>
      </c>
      <c r="B181" s="4" t="str">
        <f t="shared" si="18"/>
        <v>VULN</v>
      </c>
      <c r="C181" s="4" t="str">
        <f>VLOOKUP($A181,Questions!$A$3:$L$333,2,0)&amp;""</f>
        <v>Are your systems and applications scanned with an authenticated user account for vulnerabilities (that are remediated) prior to new releases?*</v>
      </c>
      <c r="D181" s="4" t="str">
        <f>VLOOKUP($A181,Questions!$A$3:$L$333,11,0)&amp;""</f>
        <v/>
      </c>
      <c r="E181" s="4" t="str">
        <f>VLOOKUP($A181,Questions!$A$3:$L$333,12,0)&amp;""</f>
        <v>Infrastructure</v>
      </c>
      <c r="F181" s="4" t="str">
        <f>VLOOKUP($A181,'Institution Evaluation'!$A$56:$K$345,3,0)&amp;""</f>
        <v>Yes</v>
      </c>
      <c r="G181" s="4" t="str">
        <f>VLOOKUP($A181,'Institution Evaluation'!$A$56:$K$345,7,0)&amp;""</f>
        <v>Yes</v>
      </c>
      <c r="H181" s="4" t="str">
        <f>VLOOKUP($A181,'Institution Evaluation'!$A$56:$K$345,8,0)&amp;""</f>
        <v/>
      </c>
      <c r="I181" s="4" t="str">
        <f>VLOOKUP($A181,'Institution Evaluation'!$A$56:$K$345,9,0)&amp;""</f>
        <v>Critical Importance</v>
      </c>
      <c r="J181" s="4" t="str">
        <f>VLOOKUP($A181,'Institution Evaluation'!$A$56:$K$345,10,0)&amp;""</f>
        <v/>
      </c>
      <c r="K181" s="4">
        <f>IF($I181='Auto Responses'!$J$11,20,IF($I181='Auto Responses'!$J$13,5,10))</f>
        <v>20</v>
      </c>
      <c r="L181" s="105">
        <f>IF($E181='Auto Responses'!$L$13, 'Auto Responses'!$J$5,IF(AND($D181='Auto Responses'!$J$27,$H181=""),'Auto Responses'!$J$5,IF(AND($D181='Auto Responses'!$J$27,$H181='Auto Responses'!$J$7),1,IF(AND($D181='Auto Responses'!$J$27,$H181='Auto Responses'!$J$8),0,IF(OR(AND($F181=$G181,$H181=""),$H181='Auto Responses'!$J$7),1,0)))))</f>
        <v>1</v>
      </c>
      <c r="M181" s="4" t="str">
        <f>VLOOKUP($A181,'Institution Evaluation'!$A$56:$K$345,11,0)&amp;""</f>
        <v>FALSE</v>
      </c>
      <c r="N181" s="4">
        <f>IF($J181='Auto Responses'!$J$11,1,IF(AND($J181="",$I181='Auto Responses'!$J$11),1,0))</f>
        <v>1</v>
      </c>
      <c r="O181" s="105">
        <f>IF(OR($F$17='Auto Responses'!$J$4,$E181='Auto Responses'!$L$13,$F181='Auto Responses'!$J$5),'Auto Responses'!$J$5,IF($J181="",$K181,IF($J181='Auto Responses'!$J$13,5,IF($J181='Auto Responses'!$J$12,10,IF($J181='Auto Responses'!$J$11,20,0)))))</f>
        <v>20</v>
      </c>
      <c r="P181" s="105">
        <f>IF(OR($O181='Auto Responses'!$J$5,$L181='Auto Responses'!$J$5),'Auto Responses'!$J$5,$O181*$L181)</f>
        <v>20</v>
      </c>
      <c r="Q181" s="105">
        <f t="shared" si="14"/>
        <v>0</v>
      </c>
      <c r="R181" s="105">
        <f t="shared" si="19"/>
        <v>0</v>
      </c>
      <c r="S181" s="105">
        <f t="shared" si="15"/>
        <v>0</v>
      </c>
      <c r="T181" s="105">
        <f t="shared" si="16"/>
        <v>1</v>
      </c>
      <c r="U181" s="105">
        <f t="shared" si="20"/>
        <v>53</v>
      </c>
      <c r="V181" s="105">
        <f t="shared" si="17"/>
        <v>53</v>
      </c>
    </row>
    <row r="182" spans="1:22" ht="56" x14ac:dyDescent="0.3">
      <c r="A182" s="4" t="str">
        <f>Questions!$A182</f>
        <v>VULN-02</v>
      </c>
      <c r="B182" s="4" t="str">
        <f t="shared" si="18"/>
        <v>VULN</v>
      </c>
      <c r="C182" s="4" t="str">
        <f>VLOOKUP($A182,Questions!$A$3:$L$333,2,0)&amp;""</f>
        <v>Will you provide results of application and system vulnerability scans to the institution?*</v>
      </c>
      <c r="D182" s="4" t="str">
        <f>VLOOKUP($A182,Questions!$A$3:$L$333,11,0)&amp;""</f>
        <v/>
      </c>
      <c r="E182" s="4" t="str">
        <f>VLOOKUP($A182,Questions!$A$3:$L$333,12,0)&amp;""</f>
        <v>Infrastructure</v>
      </c>
      <c r="F182" s="4" t="str">
        <f>VLOOKUP($A182,'Institution Evaluation'!$A$56:$K$345,3,0)&amp;""</f>
        <v>Yes</v>
      </c>
      <c r="G182" s="4" t="str">
        <f>VLOOKUP($A182,'Institution Evaluation'!$A$56:$K$345,7,0)&amp;""</f>
        <v>Yes</v>
      </c>
      <c r="H182" s="4" t="str">
        <f>VLOOKUP($A182,'Institution Evaluation'!$A$56:$K$345,8,0)&amp;""</f>
        <v/>
      </c>
      <c r="I182" s="4" t="str">
        <f>VLOOKUP($A182,'Institution Evaluation'!$A$56:$K$345,9,0)&amp;""</f>
        <v>Critical Importance</v>
      </c>
      <c r="J182" s="4" t="str">
        <f>VLOOKUP($A182,'Institution Evaluation'!$A$56:$K$345,10,0)&amp;""</f>
        <v/>
      </c>
      <c r="K182" s="4">
        <f>IF($I182='Auto Responses'!$J$11,20,IF($I182='Auto Responses'!$J$13,5,10))</f>
        <v>20</v>
      </c>
      <c r="L182" s="105">
        <f>IF($E182='Auto Responses'!$L$13, 'Auto Responses'!$J$5,IF(AND($D182='Auto Responses'!$J$27,$H182=""),'Auto Responses'!$J$5,IF(AND($D182='Auto Responses'!$J$27,$H182='Auto Responses'!$J$7),1,IF(AND($D182='Auto Responses'!$J$27,$H182='Auto Responses'!$J$8),0,IF(OR(AND($F182=$G182,$H182=""),$H182='Auto Responses'!$J$7),1,0)))))</f>
        <v>1</v>
      </c>
      <c r="M182" s="4" t="str">
        <f>VLOOKUP($A182,'Institution Evaluation'!$A$56:$K$345,11,0)&amp;""</f>
        <v>FALSE</v>
      </c>
      <c r="N182" s="4">
        <f>IF($J182='Auto Responses'!$J$11,1,IF(AND($J182="",$I182='Auto Responses'!$J$11),1,0))</f>
        <v>1</v>
      </c>
      <c r="O182" s="105">
        <f>IF(OR($F$17='Auto Responses'!$J$4,$E182='Auto Responses'!$L$13,$F182='Auto Responses'!$J$5),'Auto Responses'!$J$5,IF($J182="",$K182,IF($J182='Auto Responses'!$J$13,5,IF($J182='Auto Responses'!$J$12,10,IF($J182='Auto Responses'!$J$11,20,0)))))</f>
        <v>20</v>
      </c>
      <c r="P182" s="105">
        <f>IF(OR($O182='Auto Responses'!$J$5,$L182='Auto Responses'!$J$5),'Auto Responses'!$J$5,$O182*$L182)</f>
        <v>20</v>
      </c>
      <c r="Q182" s="105">
        <f t="shared" si="14"/>
        <v>0</v>
      </c>
      <c r="R182" s="105">
        <f t="shared" si="19"/>
        <v>0</v>
      </c>
      <c r="S182" s="105">
        <f t="shared" si="15"/>
        <v>0</v>
      </c>
      <c r="T182" s="105">
        <f t="shared" si="16"/>
        <v>1</v>
      </c>
      <c r="U182" s="105">
        <f t="shared" si="20"/>
        <v>54</v>
      </c>
      <c r="V182" s="105">
        <f t="shared" si="17"/>
        <v>54</v>
      </c>
    </row>
    <row r="183" spans="1:22" ht="56" x14ac:dyDescent="0.3">
      <c r="A183" s="4" t="str">
        <f>Questions!$A183</f>
        <v>VULN-03</v>
      </c>
      <c r="B183" s="4" t="str">
        <f t="shared" si="18"/>
        <v>VULN</v>
      </c>
      <c r="C183" s="4" t="str">
        <f>VLOOKUP($A183,Questions!$A$3:$L$333,2,0)&amp;""</f>
        <v>Will you allow the institution to perform its own vulnerability testing and/or scanning of your systems and/or application, provided that testing is performed at a mutually agreed upon time and date?*</v>
      </c>
      <c r="D183" s="4" t="str">
        <f>VLOOKUP($A183,Questions!$A$3:$L$333,11,0)&amp;""</f>
        <v/>
      </c>
      <c r="E183" s="4" t="str">
        <f>VLOOKUP($A183,Questions!$A$3:$L$333,12,0)&amp;""</f>
        <v>Infrastructure</v>
      </c>
      <c r="F183" s="4" t="str">
        <f>VLOOKUP($A183,'Institution Evaluation'!$A$56:$K$345,3,0)&amp;""</f>
        <v>Yes</v>
      </c>
      <c r="G183" s="4" t="str">
        <f>VLOOKUP($A183,'Institution Evaluation'!$A$56:$K$345,7,0)&amp;""</f>
        <v>Yes</v>
      </c>
      <c r="H183" s="4" t="str">
        <f>VLOOKUP($A183,'Institution Evaluation'!$A$56:$K$345,8,0)&amp;""</f>
        <v/>
      </c>
      <c r="I183" s="4" t="str">
        <f>VLOOKUP($A183,'Institution Evaluation'!$A$56:$K$345,9,0)&amp;""</f>
        <v>Critical Importance</v>
      </c>
      <c r="J183" s="4" t="str">
        <f>VLOOKUP($A183,'Institution Evaluation'!$A$56:$K$345,10,0)&amp;""</f>
        <v/>
      </c>
      <c r="K183" s="4">
        <f>IF($I183='Auto Responses'!$J$11,20,IF($I183='Auto Responses'!$J$13,5,10))</f>
        <v>20</v>
      </c>
      <c r="L183" s="105">
        <f>IF($E183='Auto Responses'!$L$13, 'Auto Responses'!$J$5,IF(AND($D183='Auto Responses'!$J$27,$H183=""),'Auto Responses'!$J$5,IF(AND($D183='Auto Responses'!$J$27,$H183='Auto Responses'!$J$7),1,IF(AND($D183='Auto Responses'!$J$27,$H183='Auto Responses'!$J$8),0,IF(OR(AND($F183=$G183,$H183=""),$H183='Auto Responses'!$J$7),1,0)))))</f>
        <v>1</v>
      </c>
      <c r="M183" s="4" t="str">
        <f>VLOOKUP($A183,'Institution Evaluation'!$A$56:$K$345,11,0)&amp;""</f>
        <v>FALSE</v>
      </c>
      <c r="N183" s="4">
        <f>IF($J183='Auto Responses'!$J$11,1,IF(AND($J183="",$I183='Auto Responses'!$J$11),1,0))</f>
        <v>1</v>
      </c>
      <c r="O183" s="105">
        <f>IF(OR($F$17='Auto Responses'!$J$4,$E183='Auto Responses'!$L$13,$F183='Auto Responses'!$J$5),'Auto Responses'!$J$5,IF($J183="",$K183,IF($J183='Auto Responses'!$J$13,5,IF($J183='Auto Responses'!$J$12,10,IF($J183='Auto Responses'!$J$11,20,0)))))</f>
        <v>20</v>
      </c>
      <c r="P183" s="105">
        <f>IF(OR($O183='Auto Responses'!$J$5,$L183='Auto Responses'!$J$5),'Auto Responses'!$J$5,$O183*$L183)</f>
        <v>20</v>
      </c>
      <c r="Q183" s="105">
        <f t="shared" si="14"/>
        <v>0</v>
      </c>
      <c r="R183" s="105">
        <f t="shared" si="19"/>
        <v>0</v>
      </c>
      <c r="S183" s="105">
        <f t="shared" si="15"/>
        <v>0</v>
      </c>
      <c r="T183" s="105">
        <f t="shared" si="16"/>
        <v>1</v>
      </c>
      <c r="U183" s="105">
        <f t="shared" si="20"/>
        <v>55</v>
      </c>
      <c r="V183" s="105">
        <f t="shared" si="17"/>
        <v>55</v>
      </c>
    </row>
    <row r="184" spans="1:22" ht="56" x14ac:dyDescent="0.3">
      <c r="A184" s="4" t="str">
        <f>Questions!$A184</f>
        <v>VULN-04</v>
      </c>
      <c r="B184" s="4" t="str">
        <f t="shared" si="18"/>
        <v>VULN</v>
      </c>
      <c r="C184" s="4" t="str">
        <f>VLOOKUP($A184,Questions!$A$3:$L$333,2,0)&amp;""</f>
        <v>Have your systems and applications had a third-party security assessment completed in the last year?</v>
      </c>
      <c r="D184" s="4" t="str">
        <f>VLOOKUP($A184,Questions!$A$3:$L$333,11,0)&amp;""</f>
        <v/>
      </c>
      <c r="E184" s="4" t="str">
        <f>VLOOKUP($A184,Questions!$A$3:$L$333,12,0)&amp;""</f>
        <v>Infrastructure</v>
      </c>
      <c r="F184" s="4" t="str">
        <f>VLOOKUP($A184,'Institution Evaluation'!$A$56:$K$345,3,0)&amp;""</f>
        <v>Yes</v>
      </c>
      <c r="G184" s="4" t="str">
        <f>VLOOKUP($A184,'Institution Evaluation'!$A$56:$K$345,7,0)&amp;""</f>
        <v>Yes</v>
      </c>
      <c r="H184" s="4" t="str">
        <f>VLOOKUP($A184,'Institution Evaluation'!$A$56:$K$345,8,0)&amp;""</f>
        <v/>
      </c>
      <c r="I184" s="4" t="str">
        <f>VLOOKUP($A184,'Institution Evaluation'!$A$56:$K$345,9,0)&amp;""</f>
        <v>Standard Importance</v>
      </c>
      <c r="J184" s="4" t="str">
        <f>VLOOKUP($A184,'Institution Evaluation'!$A$56:$K$345,10,0)&amp;""</f>
        <v/>
      </c>
      <c r="K184" s="4">
        <f>IF($I184='Auto Responses'!$J$11,20,IF($I184='Auto Responses'!$J$13,5,10))</f>
        <v>10</v>
      </c>
      <c r="L184" s="105">
        <f>IF($E184='Auto Responses'!$L$13, 'Auto Responses'!$J$5,IF(AND($D184='Auto Responses'!$J$27,$H184=""),'Auto Responses'!$J$5,IF(AND($D184='Auto Responses'!$J$27,$H184='Auto Responses'!$J$7),1,IF(AND($D184='Auto Responses'!$J$27,$H184='Auto Responses'!$J$8),0,IF(OR(AND($F184=$G184,$H184=""),$H184='Auto Responses'!$J$7),1,0)))))</f>
        <v>1</v>
      </c>
      <c r="M184" s="4" t="str">
        <f>VLOOKUP($A184,'Institution Evaluation'!$A$56:$K$345,11,0)&amp;""</f>
        <v>FALSE</v>
      </c>
      <c r="N184" s="4">
        <f>IF($J184='Auto Responses'!$J$11,1,IF(AND($J184="",$I184='Auto Responses'!$J$11),1,0))</f>
        <v>0</v>
      </c>
      <c r="O184" s="105">
        <f>IF(OR($F$17='Auto Responses'!$J$4,$E184='Auto Responses'!$L$13,$F184='Auto Responses'!$J$5),'Auto Responses'!$J$5,IF($J184="",$K184,IF($J184='Auto Responses'!$J$13,5,IF($J184='Auto Responses'!$J$12,10,IF($J184='Auto Responses'!$J$11,20,0)))))</f>
        <v>10</v>
      </c>
      <c r="P184" s="105">
        <f>IF(OR($O184='Auto Responses'!$J$5,$L184='Auto Responses'!$J$5),'Auto Responses'!$J$5,$O184*$L184)</f>
        <v>10</v>
      </c>
      <c r="Q184" s="105">
        <f t="shared" si="14"/>
        <v>0</v>
      </c>
      <c r="R184" s="105">
        <f t="shared" si="19"/>
        <v>0</v>
      </c>
      <c r="S184" s="105">
        <f t="shared" si="15"/>
        <v>0</v>
      </c>
      <c r="T184" s="105">
        <f t="shared" si="16"/>
        <v>0</v>
      </c>
      <c r="U184" s="105">
        <f t="shared" si="20"/>
        <v>55</v>
      </c>
      <c r="V184" s="105">
        <f t="shared" si="17"/>
        <v>0</v>
      </c>
    </row>
    <row r="185" spans="1:22" ht="56" x14ac:dyDescent="0.3">
      <c r="A185" s="4" t="str">
        <f>Questions!$A185</f>
        <v>VULN-05</v>
      </c>
      <c r="B185" s="4" t="str">
        <f t="shared" si="18"/>
        <v>VULN</v>
      </c>
      <c r="C185" s="4" t="str">
        <f>VLOOKUP($A185,Questions!$A$3:$L$333,2,0)&amp;""</f>
        <v>Do you regularly scan for common web application security vulnerabilities (e.g., SQL injection, XSS, XSRF, etc.)?</v>
      </c>
      <c r="D185" s="4" t="str">
        <f>VLOOKUP($A185,Questions!$A$3:$L$333,11,0)&amp;""</f>
        <v/>
      </c>
      <c r="E185" s="4" t="str">
        <f>VLOOKUP($A185,Questions!$A$3:$L$333,12,0)&amp;""</f>
        <v>Infrastructure</v>
      </c>
      <c r="F185" s="4" t="str">
        <f>VLOOKUP($A185,'Institution Evaluation'!$A$56:$K$345,3,0)&amp;""</f>
        <v>Yes</v>
      </c>
      <c r="G185" s="4" t="str">
        <f>VLOOKUP($A185,'Institution Evaluation'!$A$56:$K$345,7,0)&amp;""</f>
        <v>Yes</v>
      </c>
      <c r="H185" s="4" t="str">
        <f>VLOOKUP($A185,'Institution Evaluation'!$A$56:$K$345,8,0)&amp;""</f>
        <v/>
      </c>
      <c r="I185" s="4" t="str">
        <f>VLOOKUP($A185,'Institution Evaluation'!$A$56:$K$345,9,0)&amp;""</f>
        <v>Standard Importance</v>
      </c>
      <c r="J185" s="4" t="str">
        <f>VLOOKUP($A185,'Institution Evaluation'!$A$56:$K$345,10,0)&amp;""</f>
        <v/>
      </c>
      <c r="K185" s="4">
        <f>IF($I185='Auto Responses'!$J$11,20,IF($I185='Auto Responses'!$J$13,5,10))</f>
        <v>10</v>
      </c>
      <c r="L185" s="105">
        <f>IF($E185='Auto Responses'!$L$13, 'Auto Responses'!$J$5,IF(AND($D185='Auto Responses'!$J$27,$H185=""),'Auto Responses'!$J$5,IF(AND($D185='Auto Responses'!$J$27,$H185='Auto Responses'!$J$7),1,IF(AND($D185='Auto Responses'!$J$27,$H185='Auto Responses'!$J$8),0,IF(OR(AND($F185=$G185,$H185=""),$H185='Auto Responses'!$J$7),1,0)))))</f>
        <v>1</v>
      </c>
      <c r="M185" s="4" t="str">
        <f>VLOOKUP($A185,'Institution Evaluation'!$A$56:$K$345,11,0)&amp;""</f>
        <v>FALSE</v>
      </c>
      <c r="N185" s="4">
        <f>IF($J185='Auto Responses'!$J$11,1,IF(AND($J185="",$I185='Auto Responses'!$J$11),1,0))</f>
        <v>0</v>
      </c>
      <c r="O185" s="105">
        <f>IF(OR($F$17='Auto Responses'!$J$4,$E185='Auto Responses'!$L$13,$F185='Auto Responses'!$J$5),'Auto Responses'!$J$5,IF($J185="",$K185,IF($J185='Auto Responses'!$J$13,5,IF($J185='Auto Responses'!$J$12,10,IF($J185='Auto Responses'!$J$11,20,0)))))</f>
        <v>10</v>
      </c>
      <c r="P185" s="105">
        <f>IF(OR($O185='Auto Responses'!$J$5,$L185='Auto Responses'!$J$5),'Auto Responses'!$J$5,$O185*$L185)</f>
        <v>10</v>
      </c>
      <c r="Q185" s="105">
        <f t="shared" si="14"/>
        <v>0</v>
      </c>
      <c r="R185" s="105">
        <f t="shared" si="19"/>
        <v>0</v>
      </c>
      <c r="S185" s="105">
        <f t="shared" si="15"/>
        <v>0</v>
      </c>
      <c r="T185" s="105">
        <f t="shared" si="16"/>
        <v>0</v>
      </c>
      <c r="U185" s="105">
        <f t="shared" si="20"/>
        <v>55</v>
      </c>
      <c r="V185" s="105">
        <f t="shared" si="17"/>
        <v>0</v>
      </c>
    </row>
    <row r="186" spans="1:22" ht="56" x14ac:dyDescent="0.3">
      <c r="A186" s="4" t="str">
        <f>Questions!$A186</f>
        <v>VULN-06</v>
      </c>
      <c r="B186" s="4" t="str">
        <f t="shared" si="18"/>
        <v>VULN</v>
      </c>
      <c r="C186" s="4" t="str">
        <f>VLOOKUP($A186,Questions!$A$3:$L$333,2,0)&amp;""</f>
        <v>Are your systems and applications regularly scanned externally for vulnerabilities?</v>
      </c>
      <c r="D186" s="4" t="str">
        <f>VLOOKUP($A186,Questions!$A$3:$L$333,11,0)&amp;""</f>
        <v/>
      </c>
      <c r="E186" s="4" t="str">
        <f>VLOOKUP($A186,Questions!$A$3:$L$333,12,0)&amp;""</f>
        <v>Infrastructure</v>
      </c>
      <c r="F186" s="4" t="str">
        <f>VLOOKUP($A186,'Institution Evaluation'!$A$56:$K$345,3,0)&amp;""</f>
        <v>Yes</v>
      </c>
      <c r="G186" s="4" t="str">
        <f>VLOOKUP($A186,'Institution Evaluation'!$A$56:$K$345,7,0)&amp;""</f>
        <v>Yes</v>
      </c>
      <c r="H186" s="4" t="str">
        <f>VLOOKUP($A186,'Institution Evaluation'!$A$56:$K$345,8,0)&amp;""</f>
        <v/>
      </c>
      <c r="I186" s="4" t="str">
        <f>VLOOKUP($A186,'Institution Evaluation'!$A$56:$K$345,9,0)&amp;""</f>
        <v>Minor Importance</v>
      </c>
      <c r="J186" s="4" t="str">
        <f>VLOOKUP($A186,'Institution Evaluation'!$A$56:$K$345,10,0)&amp;""</f>
        <v/>
      </c>
      <c r="K186" s="4">
        <f>IF($I186='Auto Responses'!$J$11,20,IF($I186='Auto Responses'!$J$13,5,10))</f>
        <v>5</v>
      </c>
      <c r="L186" s="105">
        <f>IF($E186='Auto Responses'!$L$13, 'Auto Responses'!$J$5,IF(AND($D186='Auto Responses'!$J$27,$H186=""),'Auto Responses'!$J$5,IF(AND($D186='Auto Responses'!$J$27,$H186='Auto Responses'!$J$7),1,IF(AND($D186='Auto Responses'!$J$27,$H186='Auto Responses'!$J$8),0,IF(OR(AND($F186=$G186,$H186=""),$H186='Auto Responses'!$J$7),1,0)))))</f>
        <v>1</v>
      </c>
      <c r="M186" s="4" t="str">
        <f>VLOOKUP($A186,'Institution Evaluation'!$A$56:$K$345,11,0)&amp;""</f>
        <v>FALSE</v>
      </c>
      <c r="N186" s="4">
        <f>IF($J186='Auto Responses'!$J$11,1,IF(AND($J186="",$I186='Auto Responses'!$J$11),1,0))</f>
        <v>0</v>
      </c>
      <c r="O186" s="105">
        <f>IF(OR($F$17='Auto Responses'!$J$4,$E186='Auto Responses'!$L$13,$F186='Auto Responses'!$J$5),'Auto Responses'!$J$5,IF($J186="",$K186,IF($J186='Auto Responses'!$J$13,5,IF($J186='Auto Responses'!$J$12,10,IF($J186='Auto Responses'!$J$11,20,0)))))</f>
        <v>5</v>
      </c>
      <c r="P186" s="105">
        <f>IF(OR($O186='Auto Responses'!$J$5,$L186='Auto Responses'!$J$5),'Auto Responses'!$J$5,$O186*$L186)</f>
        <v>5</v>
      </c>
      <c r="Q186" s="105">
        <f t="shared" si="14"/>
        <v>0</v>
      </c>
      <c r="R186" s="105">
        <f t="shared" si="19"/>
        <v>0</v>
      </c>
      <c r="S186" s="105">
        <f t="shared" si="15"/>
        <v>0</v>
      </c>
      <c r="T186" s="105">
        <f t="shared" si="16"/>
        <v>0</v>
      </c>
      <c r="U186" s="105">
        <f t="shared" si="20"/>
        <v>55</v>
      </c>
      <c r="V186" s="105">
        <f t="shared" si="17"/>
        <v>0</v>
      </c>
    </row>
    <row r="187" spans="1:22" ht="56" x14ac:dyDescent="0.3">
      <c r="A187" s="4" t="str">
        <f>Questions!$A187</f>
        <v>HIPA-01</v>
      </c>
      <c r="B187" s="4" t="str">
        <f t="shared" si="18"/>
        <v>HIPA</v>
      </c>
      <c r="C187" s="4" t="str">
        <f>VLOOKUP($A187,Questions!$A$3:$L$333,2,0)&amp;""</f>
        <v>Do your workforce members receive regular training related to the Health Insurance Portability and Accountability Act (HIPAA) Privacy and Security Rules and the HITECH Act?*</v>
      </c>
      <c r="D187" s="4" t="str">
        <f>VLOOKUP($A187,Questions!$A$3:$L$333,11,0)&amp;""</f>
        <v/>
      </c>
      <c r="E187" s="4" t="str">
        <f>VLOOKUP($A187,Questions!$A$3:$L$333,12,0)&amp;""</f>
        <v>Case-specific</v>
      </c>
      <c r="F187" s="4" t="str">
        <f>VLOOKUP($A187,'Institution Evaluation'!$A$56:$K$345,3,0)&amp;""</f>
        <v/>
      </c>
      <c r="G187" s="4" t="str">
        <f>VLOOKUP($A187,'Institution Evaluation'!$A$56:$K$345,7,0)&amp;""</f>
        <v>Yes</v>
      </c>
      <c r="H187" s="4" t="str">
        <f>VLOOKUP($A187,'Institution Evaluation'!$A$56:$K$345,8,0)&amp;""</f>
        <v/>
      </c>
      <c r="I187" s="4" t="str">
        <f>VLOOKUP($A187,'Institution Evaluation'!$A$56:$K$345,9,0)&amp;""</f>
        <v>Critical Importance</v>
      </c>
      <c r="J187" s="4" t="str">
        <f>VLOOKUP($A187,'Institution Evaluation'!$A$56:$K$345,10,0)&amp;""</f>
        <v/>
      </c>
      <c r="K187" s="4">
        <f>IF($I187='Auto Responses'!$J$11,20,IF($I187='Auto Responses'!$J$13,5,10))</f>
        <v>20</v>
      </c>
      <c r="L187" s="105">
        <f>IF($E187='Auto Responses'!$L$13, 'Auto Responses'!$J$5,IF(AND($D187='Auto Responses'!$J$27,$H187=""),'Auto Responses'!$J$5,IF(AND($D187='Auto Responses'!$J$27,$H187='Auto Responses'!$J$7),1,IF(AND($D187='Auto Responses'!$J$27,$H187='Auto Responses'!$J$8),0,IF(OR(AND($F187=$G187,$H187=""),$H187='Auto Responses'!$J$7),1,0)))))</f>
        <v>0</v>
      </c>
      <c r="M187" s="4" t="str">
        <f>VLOOKUP($A187,'Institution Evaluation'!$A$56:$K$345,11,0)&amp;""</f>
        <v>FALSE</v>
      </c>
      <c r="N187" s="4">
        <f>IF($J187='Auto Responses'!$J$11,1,IF(AND($J187="",$I187='Auto Responses'!$J$11),1,0))</f>
        <v>1</v>
      </c>
      <c r="O187" s="105" t="str">
        <f>IF(OR($F$21='Auto Responses'!$J$4,$E187='Auto Responses'!$L$13,$F187='Auto Responses'!$J$5),'Auto Responses'!$J$5,IF($J187="",$K187,IF($J187='Auto Responses'!$J$13,5,IF($J187='Auto Responses'!$J$12,10,IF($J187='Auto Responses'!$J$11,20,0)))))</f>
        <v>N/A</v>
      </c>
      <c r="P187" s="105" t="str">
        <f>IF(OR($O187='Auto Responses'!$J$5,$L187='Auto Responses'!$J$5),'Auto Responses'!$J$5,$O187*$L187)</f>
        <v>N/A</v>
      </c>
      <c r="Q187" s="105">
        <f t="shared" si="14"/>
        <v>0</v>
      </c>
      <c r="R187" s="105">
        <f t="shared" si="19"/>
        <v>0</v>
      </c>
      <c r="S187" s="105">
        <f t="shared" si="15"/>
        <v>0</v>
      </c>
      <c r="T187" s="105">
        <f t="shared" si="16"/>
        <v>1</v>
      </c>
      <c r="U187" s="105">
        <f t="shared" si="20"/>
        <v>56</v>
      </c>
      <c r="V187" s="105">
        <f t="shared" si="17"/>
        <v>56</v>
      </c>
    </row>
    <row r="188" spans="1:22" ht="56" x14ac:dyDescent="0.3">
      <c r="A188" s="4" t="str">
        <f>Questions!$A188</f>
        <v>HIPA-02</v>
      </c>
      <c r="B188" s="4" t="str">
        <f t="shared" si="18"/>
        <v>HIPA</v>
      </c>
      <c r="C188" s="4" t="str">
        <f>VLOOKUP($A188,Questions!$A$3:$L$333,2,0)&amp;""</f>
        <v>Have you identified areas of risk?*</v>
      </c>
      <c r="D188" s="4" t="str">
        <f>VLOOKUP($A188,Questions!$A$3:$L$333,11,0)&amp;""</f>
        <v/>
      </c>
      <c r="E188" s="4" t="str">
        <f>VLOOKUP($A188,Questions!$A$3:$L$333,12,0)&amp;""</f>
        <v>Case-specific</v>
      </c>
      <c r="F188" s="4" t="str">
        <f>VLOOKUP($A188,'Institution Evaluation'!$A$56:$K$345,3,0)&amp;""</f>
        <v/>
      </c>
      <c r="G188" s="4" t="str">
        <f>VLOOKUP($A188,'Institution Evaluation'!$A$56:$K$345,7,0)&amp;""</f>
        <v>Yes</v>
      </c>
      <c r="H188" s="4" t="str">
        <f>VLOOKUP($A188,'Institution Evaluation'!$A$56:$K$345,8,0)&amp;""</f>
        <v/>
      </c>
      <c r="I188" s="4" t="str">
        <f>VLOOKUP($A188,'Institution Evaluation'!$A$56:$K$345,9,0)&amp;""</f>
        <v>Critical Importance</v>
      </c>
      <c r="J188" s="4" t="str">
        <f>VLOOKUP($A188,'Institution Evaluation'!$A$56:$K$345,10,0)&amp;""</f>
        <v/>
      </c>
      <c r="K188" s="4">
        <f>IF($I188='Auto Responses'!$J$11,20,IF($I188='Auto Responses'!$J$13,5,10))</f>
        <v>20</v>
      </c>
      <c r="L188" s="105">
        <f>IF($E188='Auto Responses'!$L$13, 'Auto Responses'!$J$5,IF(AND($D188='Auto Responses'!$J$27,$H188=""),'Auto Responses'!$J$5,IF(AND($D188='Auto Responses'!$J$27,$H188='Auto Responses'!$J$7),1,IF(AND($D188='Auto Responses'!$J$27,$H188='Auto Responses'!$J$8),0,IF(OR(AND($F188=$G188,$H188=""),$H188='Auto Responses'!$J$7),1,0)))))</f>
        <v>0</v>
      </c>
      <c r="M188" s="4" t="str">
        <f>VLOOKUP($A188,'Institution Evaluation'!$A$56:$K$345,11,0)&amp;""</f>
        <v>FALSE</v>
      </c>
      <c r="N188" s="4">
        <f>IF($J188='Auto Responses'!$J$11,1,IF(AND($J188="",$I188='Auto Responses'!$J$11),1,0))</f>
        <v>1</v>
      </c>
      <c r="O188" s="105" t="str">
        <f>IF(OR($F$21='Auto Responses'!$J$4,$E188='Auto Responses'!$L$13,$F188='Auto Responses'!$J$5),'Auto Responses'!$J$5,IF($J188="",$K188,IF($J188='Auto Responses'!$J$13,5,IF($J188='Auto Responses'!$J$12,10,IF($J188='Auto Responses'!$J$11,20,0)))))</f>
        <v>N/A</v>
      </c>
      <c r="P188" s="105" t="str">
        <f>IF(OR($O188='Auto Responses'!$J$5,$L188='Auto Responses'!$J$5),'Auto Responses'!$J$5,$O188*$L188)</f>
        <v>N/A</v>
      </c>
      <c r="Q188" s="105">
        <f t="shared" si="14"/>
        <v>0</v>
      </c>
      <c r="R188" s="105">
        <f t="shared" si="19"/>
        <v>0</v>
      </c>
      <c r="S188" s="105">
        <f t="shared" si="15"/>
        <v>0</v>
      </c>
      <c r="T188" s="105">
        <f t="shared" si="16"/>
        <v>1</v>
      </c>
      <c r="U188" s="105">
        <f t="shared" si="20"/>
        <v>57</v>
      </c>
      <c r="V188" s="105">
        <f t="shared" si="17"/>
        <v>57</v>
      </c>
    </row>
    <row r="189" spans="1:22" ht="56" x14ac:dyDescent="0.3">
      <c r="A189" s="4" t="str">
        <f>Questions!$A189</f>
        <v>HIPA-03</v>
      </c>
      <c r="B189" s="4" t="str">
        <f t="shared" si="18"/>
        <v>HIPA</v>
      </c>
      <c r="C189" s="4" t="str">
        <f>VLOOKUP($A189,Questions!$A$3:$L$333,2,0)&amp;""</f>
        <v>Have the relevant policies/plans been tested?*</v>
      </c>
      <c r="D189" s="4" t="str">
        <f>VLOOKUP($A189,Questions!$A$3:$L$333,11,0)&amp;""</f>
        <v/>
      </c>
      <c r="E189" s="4" t="str">
        <f>VLOOKUP($A189,Questions!$A$3:$L$333,12,0)&amp;""</f>
        <v>Case-specific</v>
      </c>
      <c r="F189" s="4" t="str">
        <f>VLOOKUP($A189,'Institution Evaluation'!$A$56:$K$345,3,0)&amp;""</f>
        <v/>
      </c>
      <c r="G189" s="4" t="str">
        <f>VLOOKUP($A189,'Institution Evaluation'!$A$56:$K$345,7,0)&amp;""</f>
        <v>Yes</v>
      </c>
      <c r="H189" s="4" t="str">
        <f>VLOOKUP($A189,'Institution Evaluation'!$A$56:$K$345,8,0)&amp;""</f>
        <v/>
      </c>
      <c r="I189" s="4" t="str">
        <f>VLOOKUP($A189,'Institution Evaluation'!$A$56:$K$345,9,0)&amp;""</f>
        <v>Critical Importance</v>
      </c>
      <c r="J189" s="4" t="str">
        <f>VLOOKUP($A189,'Institution Evaluation'!$A$56:$K$345,10,0)&amp;""</f>
        <v/>
      </c>
      <c r="K189" s="4">
        <f>IF($I189='Auto Responses'!$J$11,20,IF($I189='Auto Responses'!$J$13,5,10))</f>
        <v>20</v>
      </c>
      <c r="L189" s="105">
        <f>IF($E189='Auto Responses'!$L$13, 'Auto Responses'!$J$5,IF(AND($D189='Auto Responses'!$J$27,$H189=""),'Auto Responses'!$J$5,IF(AND($D189='Auto Responses'!$J$27,$H189='Auto Responses'!$J$7),1,IF(AND($D189='Auto Responses'!$J$27,$H189='Auto Responses'!$J$8),0,IF(OR(AND($F189=$G189,$H189=""),$H189='Auto Responses'!$J$7),1,0)))))</f>
        <v>0</v>
      </c>
      <c r="M189" s="4" t="str">
        <f>VLOOKUP($A189,'Institution Evaluation'!$A$56:$K$345,11,0)&amp;""</f>
        <v>FALSE</v>
      </c>
      <c r="N189" s="4">
        <f>IF($J189='Auto Responses'!$J$11,1,IF(AND($J189="",$I189='Auto Responses'!$J$11),1,0))</f>
        <v>1</v>
      </c>
      <c r="O189" s="105" t="str">
        <f>IF(OR($F$21='Auto Responses'!$J$4,$E189='Auto Responses'!$L$13,$F189='Auto Responses'!$J$5),'Auto Responses'!$J$5,IF($J189="",$K189,IF($J189='Auto Responses'!$J$13,5,IF($J189='Auto Responses'!$J$12,10,IF($J189='Auto Responses'!$J$11,20,0)))))</f>
        <v>N/A</v>
      </c>
      <c r="P189" s="105" t="str">
        <f>IF(OR($O189='Auto Responses'!$J$5,$L189='Auto Responses'!$J$5),'Auto Responses'!$J$5,$O189*$L189)</f>
        <v>N/A</v>
      </c>
      <c r="Q189" s="105">
        <f t="shared" si="14"/>
        <v>0</v>
      </c>
      <c r="R189" s="105">
        <f t="shared" si="19"/>
        <v>0</v>
      </c>
      <c r="S189" s="105">
        <f t="shared" si="15"/>
        <v>0</v>
      </c>
      <c r="T189" s="105">
        <f t="shared" si="16"/>
        <v>1</v>
      </c>
      <c r="U189" s="105">
        <f t="shared" si="20"/>
        <v>58</v>
      </c>
      <c r="V189" s="105">
        <f t="shared" si="17"/>
        <v>58</v>
      </c>
    </row>
    <row r="190" spans="1:22" ht="56" x14ac:dyDescent="0.3">
      <c r="A190" s="4" t="str">
        <f>Questions!$A190</f>
        <v>HIPA-04</v>
      </c>
      <c r="B190" s="4" t="str">
        <f t="shared" si="18"/>
        <v>HIPA</v>
      </c>
      <c r="C190" s="4" t="str">
        <f>VLOOKUP($A190,Questions!$A$3:$L$333,2,0)&amp;""</f>
        <v>Have you entered into a Business Associate Agreements with all subcontractors who may have access to protected health information (PHI)?*</v>
      </c>
      <c r="D190" s="4" t="str">
        <f>VLOOKUP($A190,Questions!$A$3:$L$333,11,0)&amp;""</f>
        <v/>
      </c>
      <c r="E190" s="4" t="str">
        <f>VLOOKUP($A190,Questions!$A$3:$L$333,12,0)&amp;""</f>
        <v>Case-specific</v>
      </c>
      <c r="F190" s="4" t="str">
        <f>VLOOKUP($A190,'Institution Evaluation'!$A$56:$K$345,3,0)&amp;""</f>
        <v/>
      </c>
      <c r="G190" s="4" t="str">
        <f>VLOOKUP($A190,'Institution Evaluation'!$A$56:$K$345,7,0)&amp;""</f>
        <v>Yes</v>
      </c>
      <c r="H190" s="4" t="str">
        <f>VLOOKUP($A190,'Institution Evaluation'!$A$56:$K$345,8,0)&amp;""</f>
        <v/>
      </c>
      <c r="I190" s="4" t="str">
        <f>VLOOKUP($A190,'Institution Evaluation'!$A$56:$K$345,9,0)&amp;""</f>
        <v>Critical Importance</v>
      </c>
      <c r="J190" s="4" t="str">
        <f>VLOOKUP($A190,'Institution Evaluation'!$A$56:$K$345,10,0)&amp;""</f>
        <v/>
      </c>
      <c r="K190" s="4">
        <f>IF($I190='Auto Responses'!$J$11,20,IF($I190='Auto Responses'!$J$13,5,10))</f>
        <v>20</v>
      </c>
      <c r="L190" s="105">
        <f>IF($E190='Auto Responses'!$L$13, 'Auto Responses'!$J$5,IF(AND($D190='Auto Responses'!$J$27,$H190=""),'Auto Responses'!$J$5,IF(AND($D190='Auto Responses'!$J$27,$H190='Auto Responses'!$J$7),1,IF(AND($D190='Auto Responses'!$J$27,$H190='Auto Responses'!$J$8),0,IF(OR(AND($F190=$G190,$H190=""),$H190='Auto Responses'!$J$7),1,0)))))</f>
        <v>0</v>
      </c>
      <c r="M190" s="4" t="str">
        <f>VLOOKUP($A190,'Institution Evaluation'!$A$56:$K$345,11,0)&amp;""</f>
        <v>FALSE</v>
      </c>
      <c r="N190" s="4">
        <f>IF($J190='Auto Responses'!$J$11,1,IF(AND($J190="",$I190='Auto Responses'!$J$11),1,0))</f>
        <v>1</v>
      </c>
      <c r="O190" s="105" t="str">
        <f>IF(OR($F$21='Auto Responses'!$J$4,$E190='Auto Responses'!$L$13,$F190='Auto Responses'!$J$5),'Auto Responses'!$J$5,IF($J190="",$K190,IF($J190='Auto Responses'!$J$13,5,IF($J190='Auto Responses'!$J$12,10,IF($J190='Auto Responses'!$J$11,20,0)))))</f>
        <v>N/A</v>
      </c>
      <c r="P190" s="105" t="str">
        <f>IF(OR($O190='Auto Responses'!$J$5,$L190='Auto Responses'!$J$5),'Auto Responses'!$J$5,$O190*$L190)</f>
        <v>N/A</v>
      </c>
      <c r="Q190" s="105">
        <f t="shared" ref="Q190:Q253" si="21">IF(M190="TRUE",1,0)</f>
        <v>0</v>
      </c>
      <c r="R190" s="105">
        <f t="shared" si="19"/>
        <v>0</v>
      </c>
      <c r="S190" s="105">
        <f t="shared" ref="S190:S253" si="22">IF(Q190=0,0,R190)</f>
        <v>0</v>
      </c>
      <c r="T190" s="105">
        <f t="shared" ref="T190:T253" si="23">IF(N190=1,1,0)</f>
        <v>1</v>
      </c>
      <c r="U190" s="105">
        <f t="shared" si="20"/>
        <v>59</v>
      </c>
      <c r="V190" s="105">
        <f t="shared" ref="V190:V253" si="24">IF(T190=0,0,U190)</f>
        <v>59</v>
      </c>
    </row>
    <row r="191" spans="1:22" ht="56" x14ac:dyDescent="0.3">
      <c r="A191" s="4" t="str">
        <f>Questions!$A191</f>
        <v>HIPA-05</v>
      </c>
      <c r="B191" s="4" t="str">
        <f t="shared" ref="B191:B254" si="25">LEFT(A191,4)</f>
        <v>HIPA</v>
      </c>
      <c r="C191" s="4" t="str">
        <f>VLOOKUP($A191,Questions!$A$3:$L$333,2,0)&amp;""</f>
        <v>Do you monitor or receive information regarding changes in HIPAA regulations?</v>
      </c>
      <c r="D191" s="4" t="str">
        <f>VLOOKUP($A191,Questions!$A$3:$L$333,11,0)&amp;""</f>
        <v/>
      </c>
      <c r="E191" s="4" t="str">
        <f>VLOOKUP($A191,Questions!$A$3:$L$333,12,0)&amp;""</f>
        <v>Case-specific</v>
      </c>
      <c r="F191" s="4" t="str">
        <f>VLOOKUP($A191,'Institution Evaluation'!$A$56:$K$345,3,0)&amp;""</f>
        <v/>
      </c>
      <c r="G191" s="4" t="str">
        <f>VLOOKUP($A191,'Institution Evaluation'!$A$56:$K$345,7,0)&amp;""</f>
        <v>Yes</v>
      </c>
      <c r="H191" s="4" t="str">
        <f>VLOOKUP($A191,'Institution Evaluation'!$A$56:$K$345,8,0)&amp;""</f>
        <v/>
      </c>
      <c r="I191" s="4" t="str">
        <f>VLOOKUP($A191,'Institution Evaluation'!$A$56:$K$345,9,0)&amp;""</f>
        <v>Standard Importance</v>
      </c>
      <c r="J191" s="4" t="str">
        <f>VLOOKUP($A191,'Institution Evaluation'!$A$56:$K$345,10,0)&amp;""</f>
        <v/>
      </c>
      <c r="K191" s="4">
        <f>IF($I191='Auto Responses'!$J$11,20,IF($I191='Auto Responses'!$J$13,5,10))</f>
        <v>10</v>
      </c>
      <c r="L191" s="105">
        <f>IF($E191='Auto Responses'!$L$13, 'Auto Responses'!$J$5,IF(AND($D191='Auto Responses'!$J$27,$H191=""),'Auto Responses'!$J$5,IF(AND($D191='Auto Responses'!$J$27,$H191='Auto Responses'!$J$7),1,IF(AND($D191='Auto Responses'!$J$27,$H191='Auto Responses'!$J$8),0,IF(OR(AND($F191=$G191,$H191=""),$H191='Auto Responses'!$J$7),1,0)))))</f>
        <v>0</v>
      </c>
      <c r="M191" s="4" t="str">
        <f>VLOOKUP($A191,'Institution Evaluation'!$A$56:$K$345,11,0)&amp;""</f>
        <v>FALSE</v>
      </c>
      <c r="N191" s="4">
        <f>IF($J191='Auto Responses'!$J$11,1,IF(AND($J191="",$I191='Auto Responses'!$J$11),1,0))</f>
        <v>0</v>
      </c>
      <c r="O191" s="105" t="str">
        <f>IF(OR($F$21='Auto Responses'!$J$4,$E191='Auto Responses'!$L$13,$F191='Auto Responses'!$J$5),'Auto Responses'!$J$5,IF($J191="",$K191,IF($J191='Auto Responses'!$J$13,5,IF($J191='Auto Responses'!$J$12,10,IF($J191='Auto Responses'!$J$11,20,0)))))</f>
        <v>N/A</v>
      </c>
      <c r="P191" s="105" t="str">
        <f>IF(OR($O191='Auto Responses'!$J$5,$L191='Auto Responses'!$J$5),'Auto Responses'!$J$5,$O191*$L191)</f>
        <v>N/A</v>
      </c>
      <c r="Q191" s="105">
        <f t="shared" si="21"/>
        <v>0</v>
      </c>
      <c r="R191" s="105">
        <f t="shared" si="19"/>
        <v>0</v>
      </c>
      <c r="S191" s="105">
        <f t="shared" si="22"/>
        <v>0</v>
      </c>
      <c r="T191" s="105">
        <f t="shared" si="23"/>
        <v>0</v>
      </c>
      <c r="U191" s="105">
        <f t="shared" si="20"/>
        <v>59</v>
      </c>
      <c r="V191" s="105">
        <f t="shared" si="24"/>
        <v>0</v>
      </c>
    </row>
    <row r="192" spans="1:22" ht="56" x14ac:dyDescent="0.3">
      <c r="A192" s="4" t="str">
        <f>Questions!$A192</f>
        <v>HIPA-06</v>
      </c>
      <c r="B192" s="4" t="str">
        <f t="shared" si="25"/>
        <v>HIPA</v>
      </c>
      <c r="C192" s="4" t="str">
        <f>VLOOKUP($A192,Questions!$A$3:$L$333,2,0)&amp;""</f>
        <v>Has your organization designated HIPAA Privacy and Security officers as required by the rules?</v>
      </c>
      <c r="D192" s="4" t="str">
        <f>VLOOKUP($A192,Questions!$A$3:$L$333,11,0)&amp;""</f>
        <v/>
      </c>
      <c r="E192" s="4" t="str">
        <f>VLOOKUP($A192,Questions!$A$3:$L$333,12,0)&amp;""</f>
        <v>Case-specific</v>
      </c>
      <c r="F192" s="4" t="str">
        <f>VLOOKUP($A192,'Institution Evaluation'!$A$56:$K$345,3,0)&amp;""</f>
        <v/>
      </c>
      <c r="G192" s="4" t="str">
        <f>VLOOKUP($A192,'Institution Evaluation'!$A$56:$K$345,7,0)&amp;""</f>
        <v>Yes</v>
      </c>
      <c r="H192" s="4" t="str">
        <f>VLOOKUP($A192,'Institution Evaluation'!$A$56:$K$345,8,0)&amp;""</f>
        <v/>
      </c>
      <c r="I192" s="4" t="str">
        <f>VLOOKUP($A192,'Institution Evaluation'!$A$56:$K$345,9,0)&amp;""</f>
        <v>Standard Importance</v>
      </c>
      <c r="J192" s="4" t="str">
        <f>VLOOKUP($A192,'Institution Evaluation'!$A$56:$K$345,10,0)&amp;""</f>
        <v/>
      </c>
      <c r="K192" s="4">
        <f>IF($I192='Auto Responses'!$J$11,20,IF($I192='Auto Responses'!$J$13,5,10))</f>
        <v>10</v>
      </c>
      <c r="L192" s="105">
        <f>IF($E192='Auto Responses'!$L$13, 'Auto Responses'!$J$5,IF(AND($D192='Auto Responses'!$J$27,$H192=""),'Auto Responses'!$J$5,IF(AND($D192='Auto Responses'!$J$27,$H192='Auto Responses'!$J$7),1,IF(AND($D192='Auto Responses'!$J$27,$H192='Auto Responses'!$J$8),0,IF(OR(AND($F192=$G192,$H192=""),$H192='Auto Responses'!$J$7),1,0)))))</f>
        <v>0</v>
      </c>
      <c r="M192" s="4" t="str">
        <f>VLOOKUP($A192,'Institution Evaluation'!$A$56:$K$345,11,0)&amp;""</f>
        <v>FALSE</v>
      </c>
      <c r="N192" s="4">
        <f>IF($J192='Auto Responses'!$J$11,1,IF(AND($J192="",$I192='Auto Responses'!$J$11),1,0))</f>
        <v>0</v>
      </c>
      <c r="O192" s="105" t="str">
        <f>IF(OR($F$21='Auto Responses'!$J$4,$E192='Auto Responses'!$L$13,$F192='Auto Responses'!$J$5),'Auto Responses'!$J$5,IF($J192="",$K192,IF($J192='Auto Responses'!$J$13,5,IF($J192='Auto Responses'!$J$12,10,IF($J192='Auto Responses'!$J$11,20,0)))))</f>
        <v>N/A</v>
      </c>
      <c r="P192" s="105" t="str">
        <f>IF(OR($O192='Auto Responses'!$J$5,$L192='Auto Responses'!$J$5),'Auto Responses'!$J$5,$O192*$L192)</f>
        <v>N/A</v>
      </c>
      <c r="Q192" s="105">
        <f t="shared" si="21"/>
        <v>0</v>
      </c>
      <c r="R192" s="105">
        <f t="shared" si="19"/>
        <v>0</v>
      </c>
      <c r="S192" s="105">
        <f t="shared" si="22"/>
        <v>0</v>
      </c>
      <c r="T192" s="105">
        <f t="shared" si="23"/>
        <v>0</v>
      </c>
      <c r="U192" s="105">
        <f t="shared" si="20"/>
        <v>59</v>
      </c>
      <c r="V192" s="105">
        <f t="shared" si="24"/>
        <v>0</v>
      </c>
    </row>
    <row r="193" spans="1:22" ht="56" x14ac:dyDescent="0.3">
      <c r="A193" s="4" t="str">
        <f>Questions!$A193</f>
        <v>HIPA-07</v>
      </c>
      <c r="B193" s="4" t="str">
        <f t="shared" si="25"/>
        <v>HIPA</v>
      </c>
      <c r="C193" s="4" t="str">
        <f>VLOOKUP($A193,Questions!$A$3:$L$333,2,0)&amp;""</f>
        <v>Do you comply with the requirements of the Health Information Technology for Economic and Clinical Health Act (HITECH)?</v>
      </c>
      <c r="D193" s="4" t="str">
        <f>VLOOKUP($A193,Questions!$A$3:$L$333,11,0)&amp;""</f>
        <v/>
      </c>
      <c r="E193" s="4" t="str">
        <f>VLOOKUP($A193,Questions!$A$3:$L$333,12,0)&amp;""</f>
        <v>Case-specific</v>
      </c>
      <c r="F193" s="4" t="str">
        <f>VLOOKUP($A193,'Institution Evaluation'!$A$56:$K$345,3,0)&amp;""</f>
        <v/>
      </c>
      <c r="G193" s="4" t="str">
        <f>VLOOKUP($A193,'Institution Evaluation'!$A$56:$K$345,7,0)&amp;""</f>
        <v>Yes</v>
      </c>
      <c r="H193" s="4" t="str">
        <f>VLOOKUP($A193,'Institution Evaluation'!$A$56:$K$345,8,0)&amp;""</f>
        <v/>
      </c>
      <c r="I193" s="4" t="str">
        <f>VLOOKUP($A193,'Institution Evaluation'!$A$56:$K$345,9,0)&amp;""</f>
        <v>Standard Importance</v>
      </c>
      <c r="J193" s="4" t="str">
        <f>VLOOKUP($A193,'Institution Evaluation'!$A$56:$K$345,10,0)&amp;""</f>
        <v/>
      </c>
      <c r="K193" s="4">
        <f>IF($I193='Auto Responses'!$J$11,20,IF($I193='Auto Responses'!$J$13,5,10))</f>
        <v>10</v>
      </c>
      <c r="L193" s="105">
        <f>IF($E193='Auto Responses'!$L$13, 'Auto Responses'!$J$5,IF(AND($D193='Auto Responses'!$J$27,$H193=""),'Auto Responses'!$J$5,IF(AND($D193='Auto Responses'!$J$27,$H193='Auto Responses'!$J$7),1,IF(AND($D193='Auto Responses'!$J$27,$H193='Auto Responses'!$J$8),0,IF(OR(AND($F193=$G193,$H193=""),$H193='Auto Responses'!$J$7),1,0)))))</f>
        <v>0</v>
      </c>
      <c r="M193" s="4" t="str">
        <f>VLOOKUP($A193,'Institution Evaluation'!$A$56:$K$345,11,0)&amp;""</f>
        <v>FALSE</v>
      </c>
      <c r="N193" s="4">
        <f>IF($J193='Auto Responses'!$J$11,1,IF(AND($J193="",$I193='Auto Responses'!$J$11),1,0))</f>
        <v>0</v>
      </c>
      <c r="O193" s="105" t="str">
        <f>IF(OR($F$21='Auto Responses'!$J$4,$E193='Auto Responses'!$L$13,$F193='Auto Responses'!$J$5),'Auto Responses'!$J$5,IF($J193="",$K193,IF($J193='Auto Responses'!$J$13,5,IF($J193='Auto Responses'!$J$12,10,IF($J193='Auto Responses'!$J$11,20,0)))))</f>
        <v>N/A</v>
      </c>
      <c r="P193" s="105" t="str">
        <f>IF(OR($O193='Auto Responses'!$J$5,$L193='Auto Responses'!$J$5),'Auto Responses'!$J$5,$O193*$L193)</f>
        <v>N/A</v>
      </c>
      <c r="Q193" s="105">
        <f t="shared" si="21"/>
        <v>0</v>
      </c>
      <c r="R193" s="105">
        <f t="shared" si="19"/>
        <v>0</v>
      </c>
      <c r="S193" s="105">
        <f t="shared" si="22"/>
        <v>0</v>
      </c>
      <c r="T193" s="105">
        <f t="shared" si="23"/>
        <v>0</v>
      </c>
      <c r="U193" s="105">
        <f t="shared" si="20"/>
        <v>59</v>
      </c>
      <c r="V193" s="105">
        <f t="shared" si="24"/>
        <v>0</v>
      </c>
    </row>
    <row r="194" spans="1:22" ht="56" x14ac:dyDescent="0.3">
      <c r="A194" s="4" t="str">
        <f>Questions!$A194</f>
        <v>HIPA-08</v>
      </c>
      <c r="B194" s="4" t="str">
        <f t="shared" si="25"/>
        <v>HIPA</v>
      </c>
      <c r="C194" s="4" t="str">
        <f>VLOOKUP($A194,Questions!$A$3:$L$333,2,0)&amp;""</f>
        <v>Have you conducted a risk analysis as required under the HIPAA Security Rule?</v>
      </c>
      <c r="D194" s="4" t="str">
        <f>VLOOKUP($A194,Questions!$A$3:$L$333,11,0)&amp;""</f>
        <v/>
      </c>
      <c r="E194" s="4" t="str">
        <f>VLOOKUP($A194,Questions!$A$3:$L$333,12,0)&amp;""</f>
        <v>Case-specific</v>
      </c>
      <c r="F194" s="4" t="str">
        <f>VLOOKUP($A194,'Institution Evaluation'!$A$56:$K$345,3,0)&amp;""</f>
        <v/>
      </c>
      <c r="G194" s="4" t="str">
        <f>VLOOKUP($A194,'Institution Evaluation'!$A$56:$K$345,7,0)&amp;""</f>
        <v>Yes</v>
      </c>
      <c r="H194" s="4" t="str">
        <f>VLOOKUP($A194,'Institution Evaluation'!$A$56:$K$345,8,0)&amp;""</f>
        <v/>
      </c>
      <c r="I194" s="4" t="str">
        <f>VLOOKUP($A194,'Institution Evaluation'!$A$56:$K$345,9,0)&amp;""</f>
        <v>Standard Importance</v>
      </c>
      <c r="J194" s="4" t="str">
        <f>VLOOKUP($A194,'Institution Evaluation'!$A$56:$K$345,10,0)&amp;""</f>
        <v/>
      </c>
      <c r="K194" s="4">
        <f>IF($I194='Auto Responses'!$J$11,20,IF($I194='Auto Responses'!$J$13,5,10))</f>
        <v>10</v>
      </c>
      <c r="L194" s="105">
        <f>IF($E194='Auto Responses'!$L$13, 'Auto Responses'!$J$5,IF(AND($D194='Auto Responses'!$J$27,$H194=""),'Auto Responses'!$J$5,IF(AND($D194='Auto Responses'!$J$27,$H194='Auto Responses'!$J$7),1,IF(AND($D194='Auto Responses'!$J$27,$H194='Auto Responses'!$J$8),0,IF(OR(AND($F194=$G194,$H194=""),$H194='Auto Responses'!$J$7),1,0)))))</f>
        <v>0</v>
      </c>
      <c r="M194" s="4" t="str">
        <f>VLOOKUP($A194,'Institution Evaluation'!$A$56:$K$345,11,0)&amp;""</f>
        <v>FALSE</v>
      </c>
      <c r="N194" s="4">
        <f>IF($J194='Auto Responses'!$J$11,1,IF(AND($J194="",$I194='Auto Responses'!$J$11),1,0))</f>
        <v>0</v>
      </c>
      <c r="O194" s="105" t="str">
        <f>IF(OR($F$21='Auto Responses'!$J$4,$E194='Auto Responses'!$L$13,$F194='Auto Responses'!$J$5),'Auto Responses'!$J$5,IF($J194="",$K194,IF($J194='Auto Responses'!$J$13,5,IF($J194='Auto Responses'!$J$12,10,IF($J194='Auto Responses'!$J$11,20,0)))))</f>
        <v>N/A</v>
      </c>
      <c r="P194" s="105" t="str">
        <f>IF(OR($O194='Auto Responses'!$J$5,$L194='Auto Responses'!$J$5),'Auto Responses'!$J$5,$O194*$L194)</f>
        <v>N/A</v>
      </c>
      <c r="Q194" s="105">
        <f t="shared" si="21"/>
        <v>0</v>
      </c>
      <c r="R194" s="105">
        <f t="shared" si="19"/>
        <v>0</v>
      </c>
      <c r="S194" s="105">
        <f t="shared" si="22"/>
        <v>0</v>
      </c>
      <c r="T194" s="105">
        <f t="shared" si="23"/>
        <v>0</v>
      </c>
      <c r="U194" s="105">
        <f t="shared" si="20"/>
        <v>59</v>
      </c>
      <c r="V194" s="105">
        <f t="shared" si="24"/>
        <v>0</v>
      </c>
    </row>
    <row r="195" spans="1:22" ht="56" x14ac:dyDescent="0.3">
      <c r="A195" s="4" t="str">
        <f>Questions!$A195</f>
        <v>HIPA-09</v>
      </c>
      <c r="B195" s="4" t="str">
        <f t="shared" si="25"/>
        <v>HIPA</v>
      </c>
      <c r="C195" s="4" t="str">
        <f>VLOOKUP($A195,Questions!$A$3:$L$333,2,0)&amp;""</f>
        <v>Have you taken actions to mitigate the identified risks?</v>
      </c>
      <c r="D195" s="4" t="str">
        <f>VLOOKUP($A195,Questions!$A$3:$L$333,11,0)&amp;""</f>
        <v/>
      </c>
      <c r="E195" s="4" t="str">
        <f>VLOOKUP($A195,Questions!$A$3:$L$333,12,0)&amp;""</f>
        <v>Case-specific</v>
      </c>
      <c r="F195" s="4" t="str">
        <f>VLOOKUP($A195,'Institution Evaluation'!$A$56:$K$345,3,0)&amp;""</f>
        <v/>
      </c>
      <c r="G195" s="4" t="str">
        <f>VLOOKUP($A195,'Institution Evaluation'!$A$56:$K$345,7,0)&amp;""</f>
        <v>Yes</v>
      </c>
      <c r="H195" s="4" t="str">
        <f>VLOOKUP($A195,'Institution Evaluation'!$A$56:$K$345,8,0)&amp;""</f>
        <v/>
      </c>
      <c r="I195" s="4" t="str">
        <f>VLOOKUP($A195,'Institution Evaluation'!$A$56:$K$345,9,0)&amp;""</f>
        <v>Standard Importance</v>
      </c>
      <c r="J195" s="4" t="str">
        <f>VLOOKUP($A195,'Institution Evaluation'!$A$56:$K$345,10,0)&amp;""</f>
        <v/>
      </c>
      <c r="K195" s="4">
        <f>IF($I195='Auto Responses'!$J$11,20,IF($I195='Auto Responses'!$J$13,5,10))</f>
        <v>10</v>
      </c>
      <c r="L195" s="105">
        <f>IF($E195='Auto Responses'!$L$13, 'Auto Responses'!$J$5,IF(AND($D195='Auto Responses'!$J$27,$H195=""),'Auto Responses'!$J$5,IF(AND($D195='Auto Responses'!$J$27,$H195='Auto Responses'!$J$7),1,IF(AND($D195='Auto Responses'!$J$27,$H195='Auto Responses'!$J$8),0,IF(OR(AND($F195=$G195,$H195=""),$H195='Auto Responses'!$J$7),1,0)))))</f>
        <v>0</v>
      </c>
      <c r="M195" s="4" t="str">
        <f>VLOOKUP($A195,'Institution Evaluation'!$A$56:$K$345,11,0)&amp;""</f>
        <v>FALSE</v>
      </c>
      <c r="N195" s="4">
        <f>IF($J195='Auto Responses'!$J$11,1,IF(AND($J195="",$I195='Auto Responses'!$J$11),1,0))</f>
        <v>0</v>
      </c>
      <c r="O195" s="105" t="str">
        <f>IF(OR($F$21='Auto Responses'!$J$4,$E195='Auto Responses'!$L$13,$F195='Auto Responses'!$J$5),'Auto Responses'!$J$5,IF($J195="",$K195,IF($J195='Auto Responses'!$J$13,5,IF($J195='Auto Responses'!$J$12,10,IF($J195='Auto Responses'!$J$11,20,0)))))</f>
        <v>N/A</v>
      </c>
      <c r="P195" s="105" t="str">
        <f>IF(OR($O195='Auto Responses'!$J$5,$L195='Auto Responses'!$J$5),'Auto Responses'!$J$5,$O195*$L195)</f>
        <v>N/A</v>
      </c>
      <c r="Q195" s="105">
        <f t="shared" si="21"/>
        <v>0</v>
      </c>
      <c r="R195" s="105">
        <f t="shared" si="19"/>
        <v>0</v>
      </c>
      <c r="S195" s="105">
        <f t="shared" si="22"/>
        <v>0</v>
      </c>
      <c r="T195" s="105">
        <f t="shared" si="23"/>
        <v>0</v>
      </c>
      <c r="U195" s="105">
        <f t="shared" si="20"/>
        <v>59</v>
      </c>
      <c r="V195" s="105">
        <f t="shared" si="24"/>
        <v>0</v>
      </c>
    </row>
    <row r="196" spans="1:22" ht="56" x14ac:dyDescent="0.3">
      <c r="A196" s="4" t="str">
        <f>Questions!$A196</f>
        <v>HIPA-10</v>
      </c>
      <c r="B196" s="4" t="str">
        <f t="shared" si="25"/>
        <v>HIPA</v>
      </c>
      <c r="C196" s="4" t="str">
        <f>VLOOKUP($A196,Questions!$A$3:$L$333,2,0)&amp;""</f>
        <v>Does your application require user and system administrator password changes at a frequency no greater than 90 days?</v>
      </c>
      <c r="D196" s="4" t="str">
        <f>VLOOKUP($A196,Questions!$A$3:$L$333,11,0)&amp;""</f>
        <v/>
      </c>
      <c r="E196" s="4" t="str">
        <f>VLOOKUP($A196,Questions!$A$3:$L$333,12,0)&amp;""</f>
        <v>Case-specific</v>
      </c>
      <c r="F196" s="4" t="str">
        <f>VLOOKUP($A196,'Institution Evaluation'!$A$56:$K$345,3,0)&amp;""</f>
        <v/>
      </c>
      <c r="G196" s="4" t="str">
        <f>VLOOKUP($A196,'Institution Evaluation'!$A$56:$K$345,7,0)&amp;""</f>
        <v>Yes</v>
      </c>
      <c r="H196" s="4" t="str">
        <f>VLOOKUP($A196,'Institution Evaluation'!$A$56:$K$345,8,0)&amp;""</f>
        <v/>
      </c>
      <c r="I196" s="4" t="str">
        <f>VLOOKUP($A196,'Institution Evaluation'!$A$56:$K$345,9,0)&amp;""</f>
        <v>Standard Importance</v>
      </c>
      <c r="J196" s="4" t="str">
        <f>VLOOKUP($A196,'Institution Evaluation'!$A$56:$K$345,10,0)&amp;""</f>
        <v/>
      </c>
      <c r="K196" s="4">
        <f>IF($I196='Auto Responses'!$J$11,20,IF($I196='Auto Responses'!$J$13,5,10))</f>
        <v>10</v>
      </c>
      <c r="L196" s="105">
        <f>IF($E196='Auto Responses'!$L$13, 'Auto Responses'!$J$5,IF(AND($D196='Auto Responses'!$J$27,$H196=""),'Auto Responses'!$J$5,IF(AND($D196='Auto Responses'!$J$27,$H196='Auto Responses'!$J$7),1,IF(AND($D196='Auto Responses'!$J$27,$H196='Auto Responses'!$J$8),0,IF(OR(AND($F196=$G196,$H196=""),$H196='Auto Responses'!$J$7),1,0)))))</f>
        <v>0</v>
      </c>
      <c r="M196" s="4" t="str">
        <f>VLOOKUP($A196,'Institution Evaluation'!$A$56:$K$345,11,0)&amp;""</f>
        <v>FALSE</v>
      </c>
      <c r="N196" s="4">
        <f>IF($J196='Auto Responses'!$J$11,1,IF(AND($J196="",$I196='Auto Responses'!$J$11),1,0))</f>
        <v>0</v>
      </c>
      <c r="O196" s="105" t="str">
        <f>IF(OR($F$21='Auto Responses'!$J$4,$E196='Auto Responses'!$L$13,$F196='Auto Responses'!$J$5),'Auto Responses'!$J$5,IF($J196="",$K196,IF($J196='Auto Responses'!$J$13,5,IF($J196='Auto Responses'!$J$12,10,IF($J196='Auto Responses'!$J$11,20,0)))))</f>
        <v>N/A</v>
      </c>
      <c r="P196" s="105" t="str">
        <f>IF(OR($O196='Auto Responses'!$J$5,$L196='Auto Responses'!$J$5),'Auto Responses'!$J$5,$O196*$L196)</f>
        <v>N/A</v>
      </c>
      <c r="Q196" s="105">
        <f t="shared" si="21"/>
        <v>0</v>
      </c>
      <c r="R196" s="105">
        <f t="shared" si="19"/>
        <v>0</v>
      </c>
      <c r="S196" s="105">
        <f t="shared" si="22"/>
        <v>0</v>
      </c>
      <c r="T196" s="105">
        <f t="shared" si="23"/>
        <v>0</v>
      </c>
      <c r="U196" s="105">
        <f t="shared" si="20"/>
        <v>59</v>
      </c>
      <c r="V196" s="105">
        <f t="shared" si="24"/>
        <v>0</v>
      </c>
    </row>
    <row r="197" spans="1:22" ht="56" x14ac:dyDescent="0.3">
      <c r="A197" s="4" t="str">
        <f>Questions!$A197</f>
        <v>HIPA-11</v>
      </c>
      <c r="B197" s="4" t="str">
        <f t="shared" si="25"/>
        <v>HIPA</v>
      </c>
      <c r="C197" s="4" t="str">
        <f>VLOOKUP($A197,Questions!$A$3:$L$333,2,0)&amp;""</f>
        <v>Does your application require users to set their own password after an administrator reset or on first use of the account?</v>
      </c>
      <c r="D197" s="4" t="str">
        <f>VLOOKUP($A197,Questions!$A$3:$L$333,11,0)&amp;""</f>
        <v/>
      </c>
      <c r="E197" s="4" t="str">
        <f>VLOOKUP($A197,Questions!$A$3:$L$333,12,0)&amp;""</f>
        <v>Case-specific</v>
      </c>
      <c r="F197" s="4" t="str">
        <f>VLOOKUP($A197,'Institution Evaluation'!$A$56:$K$345,3,0)&amp;""</f>
        <v/>
      </c>
      <c r="G197" s="4" t="str">
        <f>VLOOKUP($A197,'Institution Evaluation'!$A$56:$K$345,7,0)&amp;""</f>
        <v>Yes</v>
      </c>
      <c r="H197" s="4" t="str">
        <f>VLOOKUP($A197,'Institution Evaluation'!$A$56:$K$345,8,0)&amp;""</f>
        <v/>
      </c>
      <c r="I197" s="4" t="str">
        <f>VLOOKUP($A197,'Institution Evaluation'!$A$56:$K$345,9,0)&amp;""</f>
        <v>Standard Importance</v>
      </c>
      <c r="J197" s="4" t="str">
        <f>VLOOKUP($A197,'Institution Evaluation'!$A$56:$K$345,10,0)&amp;""</f>
        <v/>
      </c>
      <c r="K197" s="4">
        <f>IF($I197='Auto Responses'!$J$11,20,IF($I197='Auto Responses'!$J$13,5,10))</f>
        <v>10</v>
      </c>
      <c r="L197" s="105">
        <f>IF($E197='Auto Responses'!$L$13, 'Auto Responses'!$J$5,IF(AND($D197='Auto Responses'!$J$27,$H197=""),'Auto Responses'!$J$5,IF(AND($D197='Auto Responses'!$J$27,$H197='Auto Responses'!$J$7),1,IF(AND($D197='Auto Responses'!$J$27,$H197='Auto Responses'!$J$8),0,IF(OR(AND($F197=$G197,$H197=""),$H197='Auto Responses'!$J$7),1,0)))))</f>
        <v>0</v>
      </c>
      <c r="M197" s="4" t="str">
        <f>VLOOKUP($A197,'Institution Evaluation'!$A$56:$K$345,11,0)&amp;""</f>
        <v>FALSE</v>
      </c>
      <c r="N197" s="4">
        <f>IF($J197='Auto Responses'!$J$11,1,IF(AND($J197="",$I197='Auto Responses'!$J$11),1,0))</f>
        <v>0</v>
      </c>
      <c r="O197" s="105" t="str">
        <f>IF(OR($F$21='Auto Responses'!$J$4,$E197='Auto Responses'!$L$13,$F197='Auto Responses'!$J$5),'Auto Responses'!$J$5,IF($J197="",$K197,IF($J197='Auto Responses'!$J$13,5,IF($J197='Auto Responses'!$J$12,10,IF($J197='Auto Responses'!$J$11,20,0)))))</f>
        <v>N/A</v>
      </c>
      <c r="P197" s="105" t="str">
        <f>IF(OR($O197='Auto Responses'!$J$5,$L197='Auto Responses'!$J$5),'Auto Responses'!$J$5,$O197*$L197)</f>
        <v>N/A</v>
      </c>
      <c r="Q197" s="105">
        <f t="shared" si="21"/>
        <v>0</v>
      </c>
      <c r="R197" s="105">
        <f t="shared" ref="R197:R260" si="26">R196+Q197</f>
        <v>0</v>
      </c>
      <c r="S197" s="105">
        <f t="shared" si="22"/>
        <v>0</v>
      </c>
      <c r="T197" s="105">
        <f t="shared" si="23"/>
        <v>0</v>
      </c>
      <c r="U197" s="105">
        <f t="shared" ref="U197:U260" si="27">U196+T197</f>
        <v>59</v>
      </c>
      <c r="V197" s="105">
        <f t="shared" si="24"/>
        <v>0</v>
      </c>
    </row>
    <row r="198" spans="1:22" ht="56" x14ac:dyDescent="0.3">
      <c r="A198" s="4" t="str">
        <f>Questions!$A198</f>
        <v>HIPA-12</v>
      </c>
      <c r="B198" s="4" t="str">
        <f t="shared" si="25"/>
        <v>HIPA</v>
      </c>
      <c r="C198" s="4" t="str">
        <f>VLOOKUP($A198,Questions!$A$3:$L$333,2,0)&amp;""</f>
        <v>Does your application lock out an account after a number of failed login attempts?</v>
      </c>
      <c r="D198" s="4" t="str">
        <f>VLOOKUP($A198,Questions!$A$3:$L$333,11,0)&amp;""</f>
        <v/>
      </c>
      <c r="E198" s="4" t="str">
        <f>VLOOKUP($A198,Questions!$A$3:$L$333,12,0)&amp;""</f>
        <v>Case-specific</v>
      </c>
      <c r="F198" s="4" t="str">
        <f>VLOOKUP($A198,'Institution Evaluation'!$A$56:$K$345,3,0)&amp;""</f>
        <v/>
      </c>
      <c r="G198" s="4" t="str">
        <f>VLOOKUP($A198,'Institution Evaluation'!$A$56:$K$345,7,0)&amp;""</f>
        <v>Yes</v>
      </c>
      <c r="H198" s="4" t="str">
        <f>VLOOKUP($A198,'Institution Evaluation'!$A$56:$K$345,8,0)&amp;""</f>
        <v/>
      </c>
      <c r="I198" s="4" t="str">
        <f>VLOOKUP($A198,'Institution Evaluation'!$A$56:$K$345,9,0)&amp;""</f>
        <v>Standard Importance</v>
      </c>
      <c r="J198" s="4" t="str">
        <f>VLOOKUP($A198,'Institution Evaluation'!$A$56:$K$345,10,0)&amp;""</f>
        <v/>
      </c>
      <c r="K198" s="4">
        <f>IF($I198='Auto Responses'!$J$11,20,IF($I198='Auto Responses'!$J$13,5,10))</f>
        <v>10</v>
      </c>
      <c r="L198" s="105">
        <f>IF($E198='Auto Responses'!$L$13, 'Auto Responses'!$J$5,IF(AND($D198='Auto Responses'!$J$27,$H198=""),'Auto Responses'!$J$5,IF(AND($D198='Auto Responses'!$J$27,$H198='Auto Responses'!$J$7),1,IF(AND($D198='Auto Responses'!$J$27,$H198='Auto Responses'!$J$8),0,IF(OR(AND($F198=$G198,$H198=""),$H198='Auto Responses'!$J$7),1,0)))))</f>
        <v>0</v>
      </c>
      <c r="M198" s="4" t="str">
        <f>VLOOKUP($A198,'Institution Evaluation'!$A$56:$K$345,11,0)&amp;""</f>
        <v>FALSE</v>
      </c>
      <c r="N198" s="4">
        <f>IF($J198='Auto Responses'!$J$11,1,IF(AND($J198="",$I198='Auto Responses'!$J$11),1,0))</f>
        <v>0</v>
      </c>
      <c r="O198" s="105" t="str">
        <f>IF(OR($F$21='Auto Responses'!$J$4,$E198='Auto Responses'!$L$13,$F198='Auto Responses'!$J$5),'Auto Responses'!$J$5,IF($J198="",$K198,IF($J198='Auto Responses'!$J$13,5,IF($J198='Auto Responses'!$J$12,10,IF($J198='Auto Responses'!$J$11,20,0)))))</f>
        <v>N/A</v>
      </c>
      <c r="P198" s="105" t="str">
        <f>IF(OR($O198='Auto Responses'!$J$5,$L198='Auto Responses'!$J$5),'Auto Responses'!$J$5,$O198*$L198)</f>
        <v>N/A</v>
      </c>
      <c r="Q198" s="105">
        <f t="shared" si="21"/>
        <v>0</v>
      </c>
      <c r="R198" s="105">
        <f t="shared" si="26"/>
        <v>0</v>
      </c>
      <c r="S198" s="105">
        <f t="shared" si="22"/>
        <v>0</v>
      </c>
      <c r="T198" s="105">
        <f t="shared" si="23"/>
        <v>0</v>
      </c>
      <c r="U198" s="105">
        <f t="shared" si="27"/>
        <v>59</v>
      </c>
      <c r="V198" s="105">
        <f t="shared" si="24"/>
        <v>0</v>
      </c>
    </row>
    <row r="199" spans="1:22" ht="56" x14ac:dyDescent="0.3">
      <c r="A199" s="4" t="str">
        <f>Questions!$A199</f>
        <v>HIPA-13</v>
      </c>
      <c r="B199" s="4" t="str">
        <f t="shared" si="25"/>
        <v>HIPA</v>
      </c>
      <c r="C199" s="4" t="str">
        <f>VLOOKUP($A199,Questions!$A$3:$L$333,2,0)&amp;""</f>
        <v>Does your application automatically lock or log-out an account after a period of inactivity?</v>
      </c>
      <c r="D199" s="4" t="str">
        <f>VLOOKUP($A199,Questions!$A$3:$L$333,11,0)&amp;""</f>
        <v/>
      </c>
      <c r="E199" s="4" t="str">
        <f>VLOOKUP($A199,Questions!$A$3:$L$333,12,0)&amp;""</f>
        <v>Case-specific</v>
      </c>
      <c r="F199" s="4" t="str">
        <f>VLOOKUP($A199,'Institution Evaluation'!$A$56:$K$345,3,0)&amp;""</f>
        <v/>
      </c>
      <c r="G199" s="4" t="str">
        <f>VLOOKUP($A199,'Institution Evaluation'!$A$56:$K$345,7,0)&amp;""</f>
        <v>Yes</v>
      </c>
      <c r="H199" s="4" t="str">
        <f>VLOOKUP($A199,'Institution Evaluation'!$A$56:$K$345,8,0)&amp;""</f>
        <v/>
      </c>
      <c r="I199" s="4" t="str">
        <f>VLOOKUP($A199,'Institution Evaluation'!$A$56:$K$345,9,0)&amp;""</f>
        <v>Standard Importance</v>
      </c>
      <c r="J199" s="4" t="str">
        <f>VLOOKUP($A199,'Institution Evaluation'!$A$56:$K$345,10,0)&amp;""</f>
        <v/>
      </c>
      <c r="K199" s="4">
        <f>IF($I199='Auto Responses'!$J$11,20,IF($I199='Auto Responses'!$J$13,5,10))</f>
        <v>10</v>
      </c>
      <c r="L199" s="105">
        <f>IF($E199='Auto Responses'!$L$13, 'Auto Responses'!$J$5,IF(AND($D199='Auto Responses'!$J$27,$H199=""),'Auto Responses'!$J$5,IF(AND($D199='Auto Responses'!$J$27,$H199='Auto Responses'!$J$7),1,IF(AND($D199='Auto Responses'!$J$27,$H199='Auto Responses'!$J$8),0,IF(OR(AND($F199=$G199,$H199=""),$H199='Auto Responses'!$J$7),1,0)))))</f>
        <v>0</v>
      </c>
      <c r="M199" s="4" t="str">
        <f>VLOOKUP($A199,'Institution Evaluation'!$A$56:$K$345,11,0)&amp;""</f>
        <v>FALSE</v>
      </c>
      <c r="N199" s="4">
        <f>IF($J199='Auto Responses'!$J$11,1,IF(AND($J199="",$I199='Auto Responses'!$J$11),1,0))</f>
        <v>0</v>
      </c>
      <c r="O199" s="105" t="str">
        <f>IF(OR($F$21='Auto Responses'!$J$4,$E199='Auto Responses'!$L$13,$F199='Auto Responses'!$J$5),'Auto Responses'!$J$5,IF($J199="",$K199,IF($J199='Auto Responses'!$J$13,5,IF($J199='Auto Responses'!$J$12,10,IF($J199='Auto Responses'!$J$11,20,0)))))</f>
        <v>N/A</v>
      </c>
      <c r="P199" s="105" t="str">
        <f>IF(OR($O199='Auto Responses'!$J$5,$L199='Auto Responses'!$J$5),'Auto Responses'!$J$5,$O199*$L199)</f>
        <v>N/A</v>
      </c>
      <c r="Q199" s="105">
        <f t="shared" si="21"/>
        <v>0</v>
      </c>
      <c r="R199" s="105">
        <f t="shared" si="26"/>
        <v>0</v>
      </c>
      <c r="S199" s="105">
        <f t="shared" si="22"/>
        <v>0</v>
      </c>
      <c r="T199" s="105">
        <f t="shared" si="23"/>
        <v>0</v>
      </c>
      <c r="U199" s="105">
        <f t="shared" si="27"/>
        <v>59</v>
      </c>
      <c r="V199" s="105">
        <f t="shared" si="24"/>
        <v>0</v>
      </c>
    </row>
    <row r="200" spans="1:22" ht="56" x14ac:dyDescent="0.3">
      <c r="A200" s="4" t="str">
        <f>Questions!$A200</f>
        <v>HIPA-14</v>
      </c>
      <c r="B200" s="4" t="str">
        <f t="shared" si="25"/>
        <v>HIPA</v>
      </c>
      <c r="C200" s="4" t="str">
        <f>VLOOKUP($A200,Questions!$A$3:$L$333,2,0)&amp;""</f>
        <v>Are passwords visible in plain text, whether when stored or entered, including service level accounts (i.e., database accounts, etc.)?</v>
      </c>
      <c r="D200" s="4" t="str">
        <f>VLOOKUP($A200,Questions!$A$3:$L$333,11,0)&amp;""</f>
        <v/>
      </c>
      <c r="E200" s="4" t="str">
        <f>VLOOKUP($A200,Questions!$A$3:$L$333,12,0)&amp;""</f>
        <v>Case-specific</v>
      </c>
      <c r="F200" s="4" t="str">
        <f>VLOOKUP($A200,'Institution Evaluation'!$A$56:$K$345,3,0)&amp;""</f>
        <v/>
      </c>
      <c r="G200" s="4" t="str">
        <f>VLOOKUP($A200,'Institution Evaluation'!$A$56:$K$345,7,0)&amp;""</f>
        <v>No</v>
      </c>
      <c r="H200" s="4" t="str">
        <f>VLOOKUP($A200,'Institution Evaluation'!$A$56:$K$345,8,0)&amp;""</f>
        <v/>
      </c>
      <c r="I200" s="4" t="str">
        <f>VLOOKUP($A200,'Institution Evaluation'!$A$56:$K$345,9,0)&amp;""</f>
        <v>Standard Importance</v>
      </c>
      <c r="J200" s="4" t="str">
        <f>VLOOKUP($A200,'Institution Evaluation'!$A$56:$K$345,10,0)&amp;""</f>
        <v/>
      </c>
      <c r="K200" s="4">
        <f>IF($I200='Auto Responses'!$J$11,20,IF($I200='Auto Responses'!$J$13,5,10))</f>
        <v>10</v>
      </c>
      <c r="L200" s="105">
        <f>IF($E200='Auto Responses'!$L$13, 'Auto Responses'!$J$5,IF(AND($D200='Auto Responses'!$J$27,$H200=""),'Auto Responses'!$J$5,IF(AND($D200='Auto Responses'!$J$27,$H200='Auto Responses'!$J$7),1,IF(AND($D200='Auto Responses'!$J$27,$H200='Auto Responses'!$J$8),0,IF(OR(AND($F200=$G200,$H200=""),$H200='Auto Responses'!$J$7),1,0)))))</f>
        <v>0</v>
      </c>
      <c r="M200" s="4" t="str">
        <f>VLOOKUP($A200,'Institution Evaluation'!$A$56:$K$345,11,0)&amp;""</f>
        <v>FALSE</v>
      </c>
      <c r="N200" s="4">
        <f>IF($J200='Auto Responses'!$J$11,1,IF(AND($J200="",$I200='Auto Responses'!$J$11),1,0))</f>
        <v>0</v>
      </c>
      <c r="O200" s="105" t="str">
        <f>IF(OR($F$21='Auto Responses'!$J$4,$E200='Auto Responses'!$L$13,$F200='Auto Responses'!$J$5),'Auto Responses'!$J$5,IF($J200="",$K200,IF($J200='Auto Responses'!$J$13,5,IF($J200='Auto Responses'!$J$12,10,IF($J200='Auto Responses'!$J$11,20,0)))))</f>
        <v>N/A</v>
      </c>
      <c r="P200" s="105" t="str">
        <f>IF(OR($O200='Auto Responses'!$J$5,$L200='Auto Responses'!$J$5),'Auto Responses'!$J$5,$O200*$L200)</f>
        <v>N/A</v>
      </c>
      <c r="Q200" s="105">
        <f t="shared" si="21"/>
        <v>0</v>
      </c>
      <c r="R200" s="105">
        <f t="shared" si="26"/>
        <v>0</v>
      </c>
      <c r="S200" s="105">
        <f t="shared" si="22"/>
        <v>0</v>
      </c>
      <c r="T200" s="105">
        <f t="shared" si="23"/>
        <v>0</v>
      </c>
      <c r="U200" s="105">
        <f t="shared" si="27"/>
        <v>59</v>
      </c>
      <c r="V200" s="105">
        <f t="shared" si="24"/>
        <v>0</v>
      </c>
    </row>
    <row r="201" spans="1:22" ht="56" x14ac:dyDescent="0.3">
      <c r="A201" s="4" t="str">
        <f>Questions!$A201</f>
        <v>HIPA-15</v>
      </c>
      <c r="B201" s="4" t="str">
        <f t="shared" si="25"/>
        <v>HIPA</v>
      </c>
      <c r="C201" s="4" t="str">
        <f>VLOOKUP($A201,Questions!$A$3:$L$333,2,0)&amp;""</f>
        <v>If the application is institution-hosted, can all service level and administrative account passwords be changed by the institution?</v>
      </c>
      <c r="D201" s="4" t="str">
        <f>VLOOKUP($A201,Questions!$A$3:$L$333,11,0)&amp;""</f>
        <v/>
      </c>
      <c r="E201" s="4" t="str">
        <f>VLOOKUP($A201,Questions!$A$3:$L$333,12,0)&amp;""</f>
        <v>Case-specific</v>
      </c>
      <c r="F201" s="4" t="str">
        <f>VLOOKUP($A201,'Institution Evaluation'!$A$56:$K$345,3,0)&amp;""</f>
        <v/>
      </c>
      <c r="G201" s="4" t="str">
        <f>VLOOKUP($A201,'Institution Evaluation'!$A$56:$K$345,7,0)&amp;""</f>
        <v>Yes</v>
      </c>
      <c r="H201" s="4" t="str">
        <f>VLOOKUP($A201,'Institution Evaluation'!$A$56:$K$345,8,0)&amp;""</f>
        <v/>
      </c>
      <c r="I201" s="4" t="str">
        <f>VLOOKUP($A201,'Institution Evaluation'!$A$56:$K$345,9,0)&amp;""</f>
        <v>Standard Importance</v>
      </c>
      <c r="J201" s="4" t="str">
        <f>VLOOKUP($A201,'Institution Evaluation'!$A$56:$K$345,10,0)&amp;""</f>
        <v/>
      </c>
      <c r="K201" s="4">
        <f>IF($I201='Auto Responses'!$J$11,20,IF($I201='Auto Responses'!$J$13,5,10))</f>
        <v>10</v>
      </c>
      <c r="L201" s="105">
        <f>IF($E201='Auto Responses'!$L$13, 'Auto Responses'!$J$5,IF(AND($D201='Auto Responses'!$J$27,$H201=""),'Auto Responses'!$J$5,IF(AND($D201='Auto Responses'!$J$27,$H201='Auto Responses'!$J$7),1,IF(AND($D201='Auto Responses'!$J$27,$H201='Auto Responses'!$J$8),0,IF(OR(AND($F201=$G201,$H201=""),$H201='Auto Responses'!$J$7),1,0)))))</f>
        <v>0</v>
      </c>
      <c r="M201" s="4" t="str">
        <f>VLOOKUP($A201,'Institution Evaluation'!$A$56:$K$345,11,0)&amp;""</f>
        <v>FALSE</v>
      </c>
      <c r="N201" s="4">
        <f>IF($J201='Auto Responses'!$J$11,1,IF(AND($J201="",$I201='Auto Responses'!$J$11),1,0))</f>
        <v>0</v>
      </c>
      <c r="O201" s="105" t="str">
        <f>IF(OR($F$21='Auto Responses'!$J$4,$E201='Auto Responses'!$L$13,$F201='Auto Responses'!$J$5),'Auto Responses'!$J$5,IF($J201="",$K201,IF($J201='Auto Responses'!$J$13,5,IF($J201='Auto Responses'!$J$12,10,IF($J201='Auto Responses'!$J$11,20,0)))))</f>
        <v>N/A</v>
      </c>
      <c r="P201" s="105" t="str">
        <f>IF(OR($O201='Auto Responses'!$J$5,$L201='Auto Responses'!$J$5),'Auto Responses'!$J$5,$O201*$L201)</f>
        <v>N/A</v>
      </c>
      <c r="Q201" s="105">
        <f t="shared" si="21"/>
        <v>0</v>
      </c>
      <c r="R201" s="105">
        <f t="shared" si="26"/>
        <v>0</v>
      </c>
      <c r="S201" s="105">
        <f t="shared" si="22"/>
        <v>0</v>
      </c>
      <c r="T201" s="105">
        <f t="shared" si="23"/>
        <v>0</v>
      </c>
      <c r="U201" s="105">
        <f t="shared" si="27"/>
        <v>59</v>
      </c>
      <c r="V201" s="105">
        <f t="shared" si="24"/>
        <v>0</v>
      </c>
    </row>
    <row r="202" spans="1:22" ht="56" x14ac:dyDescent="0.3">
      <c r="A202" s="4" t="str">
        <f>Questions!$A202</f>
        <v>HIPA-16</v>
      </c>
      <c r="B202" s="4" t="str">
        <f t="shared" si="25"/>
        <v>HIPA</v>
      </c>
      <c r="C202" s="4" t="str">
        <f>VLOOKUP($A202,Questions!$A$3:$L$333,2,0)&amp;""</f>
        <v>Does your application provide the ability to define user access levels?</v>
      </c>
      <c r="D202" s="4" t="str">
        <f>VLOOKUP($A202,Questions!$A$3:$L$333,11,0)&amp;""</f>
        <v/>
      </c>
      <c r="E202" s="4" t="str">
        <f>VLOOKUP($A202,Questions!$A$3:$L$333,12,0)&amp;""</f>
        <v>Case-specific</v>
      </c>
      <c r="F202" s="4" t="str">
        <f>VLOOKUP($A202,'Institution Evaluation'!$A$56:$K$345,3,0)&amp;""</f>
        <v/>
      </c>
      <c r="G202" s="4" t="str">
        <f>VLOOKUP($A202,'Institution Evaluation'!$A$56:$K$345,7,0)&amp;""</f>
        <v>Yes</v>
      </c>
      <c r="H202" s="4" t="str">
        <f>VLOOKUP($A202,'Institution Evaluation'!$A$56:$K$345,8,0)&amp;""</f>
        <v/>
      </c>
      <c r="I202" s="4" t="str">
        <f>VLOOKUP($A202,'Institution Evaluation'!$A$56:$K$345,9,0)&amp;""</f>
        <v>Standard Importance</v>
      </c>
      <c r="J202" s="4" t="str">
        <f>VLOOKUP($A202,'Institution Evaluation'!$A$56:$K$345,10,0)&amp;""</f>
        <v/>
      </c>
      <c r="K202" s="4">
        <f>IF($I202='Auto Responses'!$J$11,20,IF($I202='Auto Responses'!$J$13,5,10))</f>
        <v>10</v>
      </c>
      <c r="L202" s="105">
        <f>IF($E202='Auto Responses'!$L$13, 'Auto Responses'!$J$5,IF(AND($D202='Auto Responses'!$J$27,$H202=""),'Auto Responses'!$J$5,IF(AND($D202='Auto Responses'!$J$27,$H202='Auto Responses'!$J$7),1,IF(AND($D202='Auto Responses'!$J$27,$H202='Auto Responses'!$J$8),0,IF(OR(AND($F202=$G202,$H202=""),$H202='Auto Responses'!$J$7),1,0)))))</f>
        <v>0</v>
      </c>
      <c r="M202" s="4" t="str">
        <f>VLOOKUP($A202,'Institution Evaluation'!$A$56:$K$345,11,0)&amp;""</f>
        <v>FALSE</v>
      </c>
      <c r="N202" s="4">
        <f>IF($J202='Auto Responses'!$J$11,1,IF(AND($J202="",$I202='Auto Responses'!$J$11),1,0))</f>
        <v>0</v>
      </c>
      <c r="O202" s="105" t="str">
        <f>IF(OR($F$21='Auto Responses'!$J$4,$E202='Auto Responses'!$L$13,$F202='Auto Responses'!$J$5),'Auto Responses'!$J$5,IF($J202="",$K202,IF($J202='Auto Responses'!$J$13,5,IF($J202='Auto Responses'!$J$12,10,IF($J202='Auto Responses'!$J$11,20,0)))))</f>
        <v>N/A</v>
      </c>
      <c r="P202" s="105" t="str">
        <f>IF(OR($O202='Auto Responses'!$J$5,$L202='Auto Responses'!$J$5),'Auto Responses'!$J$5,$O202*$L202)</f>
        <v>N/A</v>
      </c>
      <c r="Q202" s="105">
        <f t="shared" si="21"/>
        <v>0</v>
      </c>
      <c r="R202" s="105">
        <f t="shared" si="26"/>
        <v>0</v>
      </c>
      <c r="S202" s="105">
        <f t="shared" si="22"/>
        <v>0</v>
      </c>
      <c r="T202" s="105">
        <f t="shared" si="23"/>
        <v>0</v>
      </c>
      <c r="U202" s="105">
        <f t="shared" si="27"/>
        <v>59</v>
      </c>
      <c r="V202" s="105">
        <f t="shared" si="24"/>
        <v>0</v>
      </c>
    </row>
    <row r="203" spans="1:22" ht="56" x14ac:dyDescent="0.3">
      <c r="A203" s="4" t="str">
        <f>Questions!$A203</f>
        <v>HIPA-17</v>
      </c>
      <c r="B203" s="4" t="str">
        <f t="shared" si="25"/>
        <v>HIPA</v>
      </c>
      <c r="C203" s="4" t="str">
        <f>VLOOKUP($A203,Questions!$A$3:$L$333,2,0)&amp;""</f>
        <v>Does your application support varying levels of access to administrative tasks defined individually per user?</v>
      </c>
      <c r="D203" s="4" t="str">
        <f>VLOOKUP($A203,Questions!$A$3:$L$333,11,0)&amp;""</f>
        <v/>
      </c>
      <c r="E203" s="4" t="str">
        <f>VLOOKUP($A203,Questions!$A$3:$L$333,12,0)&amp;""</f>
        <v>Case-specific</v>
      </c>
      <c r="F203" s="4" t="str">
        <f>VLOOKUP($A203,'Institution Evaluation'!$A$56:$K$345,3,0)&amp;""</f>
        <v/>
      </c>
      <c r="G203" s="4" t="str">
        <f>VLOOKUP($A203,'Institution Evaluation'!$A$56:$K$345,7,0)&amp;""</f>
        <v>Yes</v>
      </c>
      <c r="H203" s="4" t="str">
        <f>VLOOKUP($A203,'Institution Evaluation'!$A$56:$K$345,8,0)&amp;""</f>
        <v/>
      </c>
      <c r="I203" s="4" t="str">
        <f>VLOOKUP($A203,'Institution Evaluation'!$A$56:$K$345,9,0)&amp;""</f>
        <v>Standard Importance</v>
      </c>
      <c r="J203" s="4" t="str">
        <f>VLOOKUP($A203,'Institution Evaluation'!$A$56:$K$345,10,0)&amp;""</f>
        <v/>
      </c>
      <c r="K203" s="4">
        <f>IF($I203='Auto Responses'!$J$11,20,IF($I203='Auto Responses'!$J$13,5,10))</f>
        <v>10</v>
      </c>
      <c r="L203" s="105">
        <f>IF($E203='Auto Responses'!$L$13, 'Auto Responses'!$J$5,IF(AND($D203='Auto Responses'!$J$27,$H203=""),'Auto Responses'!$J$5,IF(AND($D203='Auto Responses'!$J$27,$H203='Auto Responses'!$J$7),1,IF(AND($D203='Auto Responses'!$J$27,$H203='Auto Responses'!$J$8),0,IF(OR(AND($F203=$G203,$H203=""),$H203='Auto Responses'!$J$7),1,0)))))</f>
        <v>0</v>
      </c>
      <c r="M203" s="4" t="str">
        <f>VLOOKUP($A203,'Institution Evaluation'!$A$56:$K$345,11,0)&amp;""</f>
        <v>FALSE</v>
      </c>
      <c r="N203" s="4">
        <f>IF($J203='Auto Responses'!$J$11,1,IF(AND($J203="",$I203='Auto Responses'!$J$11),1,0))</f>
        <v>0</v>
      </c>
      <c r="O203" s="105" t="str">
        <f>IF(OR($F$21='Auto Responses'!$J$4,$E203='Auto Responses'!$L$13,$F203='Auto Responses'!$J$5),'Auto Responses'!$J$5,IF($J203="",$K203,IF($J203='Auto Responses'!$J$13,5,IF($J203='Auto Responses'!$J$12,10,IF($J203='Auto Responses'!$J$11,20,0)))))</f>
        <v>N/A</v>
      </c>
      <c r="P203" s="105" t="str">
        <f>IF(OR($O203='Auto Responses'!$J$5,$L203='Auto Responses'!$J$5),'Auto Responses'!$J$5,$O203*$L203)</f>
        <v>N/A</v>
      </c>
      <c r="Q203" s="105">
        <f t="shared" si="21"/>
        <v>0</v>
      </c>
      <c r="R203" s="105">
        <f t="shared" si="26"/>
        <v>0</v>
      </c>
      <c r="S203" s="105">
        <f t="shared" si="22"/>
        <v>0</v>
      </c>
      <c r="T203" s="105">
        <f t="shared" si="23"/>
        <v>0</v>
      </c>
      <c r="U203" s="105">
        <f t="shared" si="27"/>
        <v>59</v>
      </c>
      <c r="V203" s="105">
        <f t="shared" si="24"/>
        <v>0</v>
      </c>
    </row>
    <row r="204" spans="1:22" ht="56" x14ac:dyDescent="0.3">
      <c r="A204" s="4" t="str">
        <f>Questions!$A204</f>
        <v>HIPA-18</v>
      </c>
      <c r="B204" s="4" t="str">
        <f t="shared" si="25"/>
        <v>HIPA</v>
      </c>
      <c r="C204" s="4" t="str">
        <f>VLOOKUP($A204,Questions!$A$3:$L$333,2,0)&amp;""</f>
        <v>Does your application support varying levels of access to records based on user ID?</v>
      </c>
      <c r="D204" s="4" t="str">
        <f>VLOOKUP($A204,Questions!$A$3:$L$333,11,0)&amp;""</f>
        <v/>
      </c>
      <c r="E204" s="4" t="str">
        <f>VLOOKUP($A204,Questions!$A$3:$L$333,12,0)&amp;""</f>
        <v>Case-specific</v>
      </c>
      <c r="F204" s="4" t="str">
        <f>VLOOKUP($A204,'Institution Evaluation'!$A$56:$K$345,3,0)&amp;""</f>
        <v/>
      </c>
      <c r="G204" s="4" t="str">
        <f>VLOOKUP($A204,'Institution Evaluation'!$A$56:$K$345,7,0)&amp;""</f>
        <v>No</v>
      </c>
      <c r="H204" s="4" t="str">
        <f>VLOOKUP($A204,'Institution Evaluation'!$A$56:$K$345,8,0)&amp;""</f>
        <v/>
      </c>
      <c r="I204" s="4" t="str">
        <f>VLOOKUP($A204,'Institution Evaluation'!$A$56:$K$345,9,0)&amp;""</f>
        <v>Standard Importance</v>
      </c>
      <c r="J204" s="4" t="str">
        <f>VLOOKUP($A204,'Institution Evaluation'!$A$56:$K$345,10,0)&amp;""</f>
        <v/>
      </c>
      <c r="K204" s="4">
        <f>IF($I204='Auto Responses'!$J$11,20,IF($I204='Auto Responses'!$J$13,5,10))</f>
        <v>10</v>
      </c>
      <c r="L204" s="105">
        <f>IF($E204='Auto Responses'!$L$13, 'Auto Responses'!$J$5,IF(AND($D204='Auto Responses'!$J$27,$H204=""),'Auto Responses'!$J$5,IF(AND($D204='Auto Responses'!$J$27,$H204='Auto Responses'!$J$7),1,IF(AND($D204='Auto Responses'!$J$27,$H204='Auto Responses'!$J$8),0,IF(OR(AND($F204=$G204,$H204=""),$H204='Auto Responses'!$J$7),1,0)))))</f>
        <v>0</v>
      </c>
      <c r="M204" s="4" t="str">
        <f>VLOOKUP($A204,'Institution Evaluation'!$A$56:$K$345,11,0)&amp;""</f>
        <v>FALSE</v>
      </c>
      <c r="N204" s="4">
        <f>IF($J204='Auto Responses'!$J$11,1,IF(AND($J204="",$I204='Auto Responses'!$J$11),1,0))</f>
        <v>0</v>
      </c>
      <c r="O204" s="105" t="str">
        <f>IF(OR($F$21='Auto Responses'!$J$4,$E204='Auto Responses'!$L$13,$F204='Auto Responses'!$J$5),'Auto Responses'!$J$5,IF($J204="",$K204,IF($J204='Auto Responses'!$J$13,5,IF($J204='Auto Responses'!$J$12,10,IF($J204='Auto Responses'!$J$11,20,0)))))</f>
        <v>N/A</v>
      </c>
      <c r="P204" s="105" t="str">
        <f>IF(OR($O204='Auto Responses'!$J$5,$L204='Auto Responses'!$J$5),'Auto Responses'!$J$5,$O204*$L204)</f>
        <v>N/A</v>
      </c>
      <c r="Q204" s="105">
        <f t="shared" si="21"/>
        <v>0</v>
      </c>
      <c r="R204" s="105">
        <f t="shared" si="26"/>
        <v>0</v>
      </c>
      <c r="S204" s="105">
        <f t="shared" si="22"/>
        <v>0</v>
      </c>
      <c r="T204" s="105">
        <f t="shared" si="23"/>
        <v>0</v>
      </c>
      <c r="U204" s="105">
        <f t="shared" si="27"/>
        <v>59</v>
      </c>
      <c r="V204" s="105">
        <f t="shared" si="24"/>
        <v>0</v>
      </c>
    </row>
    <row r="205" spans="1:22" ht="56" x14ac:dyDescent="0.3">
      <c r="A205" s="4" t="str">
        <f>Questions!$A205</f>
        <v>HIPA-19</v>
      </c>
      <c r="B205" s="4" t="str">
        <f t="shared" si="25"/>
        <v>HIPA</v>
      </c>
      <c r="C205" s="4" t="str">
        <f>VLOOKUP($A205,Questions!$A$3:$L$333,2,0)&amp;""</f>
        <v>Is there a limit to the number of groups to which a user can be assigned?</v>
      </c>
      <c r="D205" s="4" t="str">
        <f>VLOOKUP($A205,Questions!$A$3:$L$333,11,0)&amp;""</f>
        <v/>
      </c>
      <c r="E205" s="4" t="str">
        <f>VLOOKUP($A205,Questions!$A$3:$L$333,12,0)&amp;""</f>
        <v>Case-specific</v>
      </c>
      <c r="F205" s="4" t="str">
        <f>VLOOKUP($A205,'Institution Evaluation'!$A$56:$K$345,3,0)&amp;""</f>
        <v/>
      </c>
      <c r="G205" s="4" t="str">
        <f>VLOOKUP($A205,'Institution Evaluation'!$A$56:$K$345,7,0)&amp;""</f>
        <v>Yes</v>
      </c>
      <c r="H205" s="4" t="str">
        <f>VLOOKUP($A205,'Institution Evaluation'!$A$56:$K$345,8,0)&amp;""</f>
        <v/>
      </c>
      <c r="I205" s="4" t="str">
        <f>VLOOKUP($A205,'Institution Evaluation'!$A$56:$K$345,9,0)&amp;""</f>
        <v>Standard Importance</v>
      </c>
      <c r="J205" s="4" t="str">
        <f>VLOOKUP($A205,'Institution Evaluation'!$A$56:$K$345,10,0)&amp;""</f>
        <v/>
      </c>
      <c r="K205" s="4">
        <f>IF($I205='Auto Responses'!$J$11,20,IF($I205='Auto Responses'!$J$13,5,10))</f>
        <v>10</v>
      </c>
      <c r="L205" s="105">
        <f>IF($E205='Auto Responses'!$L$13, 'Auto Responses'!$J$5,IF(AND($D205='Auto Responses'!$J$27,$H205=""),'Auto Responses'!$J$5,IF(AND($D205='Auto Responses'!$J$27,$H205='Auto Responses'!$J$7),1,IF(AND($D205='Auto Responses'!$J$27,$H205='Auto Responses'!$J$8),0,IF(OR(AND($F205=$G205,$H205=""),$H205='Auto Responses'!$J$7),1,0)))))</f>
        <v>0</v>
      </c>
      <c r="M205" s="4" t="str">
        <f>VLOOKUP($A205,'Institution Evaluation'!$A$56:$K$345,11,0)&amp;""</f>
        <v>FALSE</v>
      </c>
      <c r="N205" s="4">
        <f>IF($J205='Auto Responses'!$J$11,1,IF(AND($J205="",$I205='Auto Responses'!$J$11),1,0))</f>
        <v>0</v>
      </c>
      <c r="O205" s="105" t="str">
        <f>IF(OR($F$21='Auto Responses'!$J$4,$E205='Auto Responses'!$L$13,$F205='Auto Responses'!$J$5),'Auto Responses'!$J$5,IF($J205="",$K205,IF($J205='Auto Responses'!$J$13,5,IF($J205='Auto Responses'!$J$12,10,IF($J205='Auto Responses'!$J$11,20,0)))))</f>
        <v>N/A</v>
      </c>
      <c r="P205" s="105" t="str">
        <f>IF(OR($O205='Auto Responses'!$J$5,$L205='Auto Responses'!$J$5),'Auto Responses'!$J$5,$O205*$L205)</f>
        <v>N/A</v>
      </c>
      <c r="Q205" s="105">
        <f t="shared" si="21"/>
        <v>0</v>
      </c>
      <c r="R205" s="105">
        <f t="shared" si="26"/>
        <v>0</v>
      </c>
      <c r="S205" s="105">
        <f t="shared" si="22"/>
        <v>0</v>
      </c>
      <c r="T205" s="105">
        <f t="shared" si="23"/>
        <v>0</v>
      </c>
      <c r="U205" s="105">
        <f t="shared" si="27"/>
        <v>59</v>
      </c>
      <c r="V205" s="105">
        <f t="shared" si="24"/>
        <v>0</v>
      </c>
    </row>
    <row r="206" spans="1:22" ht="56" x14ac:dyDescent="0.3">
      <c r="A206" s="4" t="str">
        <f>Questions!$A206</f>
        <v>HIPA-20</v>
      </c>
      <c r="B206" s="4" t="str">
        <f t="shared" si="25"/>
        <v>HIPA</v>
      </c>
      <c r="C206" s="4" t="str">
        <f>VLOOKUP($A206,Questions!$A$3:$L$333,2,0)&amp;""</f>
        <v>Do accounts used for solution provider-supplied remote support abide by the same authentication policies and access logging as the rest of the system?</v>
      </c>
      <c r="D206" s="4" t="str">
        <f>VLOOKUP($A206,Questions!$A$3:$L$333,11,0)&amp;""</f>
        <v/>
      </c>
      <c r="E206" s="4" t="str">
        <f>VLOOKUP($A206,Questions!$A$3:$L$333,12,0)&amp;""</f>
        <v>Case-specific</v>
      </c>
      <c r="F206" s="4" t="str">
        <f>VLOOKUP($A206,'Institution Evaluation'!$A$56:$K$345,3,0)&amp;""</f>
        <v/>
      </c>
      <c r="G206" s="4" t="str">
        <f>VLOOKUP($A206,'Institution Evaluation'!$A$56:$K$345,7,0)&amp;""</f>
        <v>Yes</v>
      </c>
      <c r="H206" s="4" t="str">
        <f>VLOOKUP($A206,'Institution Evaluation'!$A$56:$K$345,8,0)&amp;""</f>
        <v/>
      </c>
      <c r="I206" s="4" t="str">
        <f>VLOOKUP($A206,'Institution Evaluation'!$A$56:$K$345,9,0)&amp;""</f>
        <v>Standard Importance</v>
      </c>
      <c r="J206" s="4" t="str">
        <f>VLOOKUP($A206,'Institution Evaluation'!$A$56:$K$345,10,0)&amp;""</f>
        <v/>
      </c>
      <c r="K206" s="4">
        <f>IF($I206='Auto Responses'!$J$11,20,IF($I206='Auto Responses'!$J$13,5,10))</f>
        <v>10</v>
      </c>
      <c r="L206" s="105">
        <f>IF($E206='Auto Responses'!$L$13, 'Auto Responses'!$J$5,IF(AND($D206='Auto Responses'!$J$27,$H206=""),'Auto Responses'!$J$5,IF(AND($D206='Auto Responses'!$J$27,$H206='Auto Responses'!$J$7),1,IF(AND($D206='Auto Responses'!$J$27,$H206='Auto Responses'!$J$8),0,IF(OR(AND($F206=$G206,$H206=""),$H206='Auto Responses'!$J$7),1,0)))))</f>
        <v>0</v>
      </c>
      <c r="M206" s="4" t="str">
        <f>VLOOKUP($A206,'Institution Evaluation'!$A$56:$K$345,11,0)&amp;""</f>
        <v>FALSE</v>
      </c>
      <c r="N206" s="4">
        <f>IF($J206='Auto Responses'!$J$11,1,IF(AND($J206="",$I206='Auto Responses'!$J$11),1,0))</f>
        <v>0</v>
      </c>
      <c r="O206" s="105" t="str">
        <f>IF(OR($F$21='Auto Responses'!$J$4,$E206='Auto Responses'!$L$13,$F206='Auto Responses'!$J$5),'Auto Responses'!$J$5,IF($J206="",$K206,IF($J206='Auto Responses'!$J$13,5,IF($J206='Auto Responses'!$J$12,10,IF($J206='Auto Responses'!$J$11,20,0)))))</f>
        <v>N/A</v>
      </c>
      <c r="P206" s="105" t="str">
        <f>IF(OR($O206='Auto Responses'!$J$5,$L206='Auto Responses'!$J$5),'Auto Responses'!$J$5,$O206*$L206)</f>
        <v>N/A</v>
      </c>
      <c r="Q206" s="105">
        <f t="shared" si="21"/>
        <v>0</v>
      </c>
      <c r="R206" s="105">
        <f t="shared" si="26"/>
        <v>0</v>
      </c>
      <c r="S206" s="105">
        <f t="shared" si="22"/>
        <v>0</v>
      </c>
      <c r="T206" s="105">
        <f t="shared" si="23"/>
        <v>0</v>
      </c>
      <c r="U206" s="105">
        <f t="shared" si="27"/>
        <v>59</v>
      </c>
      <c r="V206" s="105">
        <f t="shared" si="24"/>
        <v>0</v>
      </c>
    </row>
    <row r="207" spans="1:22" ht="56" x14ac:dyDescent="0.3">
      <c r="A207" s="4" t="str">
        <f>Questions!$A207</f>
        <v>HIPA-21</v>
      </c>
      <c r="B207" s="4" t="str">
        <f t="shared" si="25"/>
        <v>HIPA</v>
      </c>
      <c r="C207" s="4" t="str">
        <f>VLOOKUP($A207,Questions!$A$3:$L$333,2,0)&amp;""</f>
        <v>Does the application log record access including specific user, date/time of access, and originating IP or device?</v>
      </c>
      <c r="D207" s="4" t="str">
        <f>VLOOKUP($A207,Questions!$A$3:$L$333,11,0)&amp;""</f>
        <v/>
      </c>
      <c r="E207" s="4" t="str">
        <f>VLOOKUP($A207,Questions!$A$3:$L$333,12,0)&amp;""</f>
        <v>Case-specific</v>
      </c>
      <c r="F207" s="4" t="str">
        <f>VLOOKUP($A207,'Institution Evaluation'!$A$56:$K$345,3,0)&amp;""</f>
        <v/>
      </c>
      <c r="G207" s="4" t="str">
        <f>VLOOKUP($A207,'Institution Evaluation'!$A$56:$K$345,7,0)&amp;""</f>
        <v>Yes</v>
      </c>
      <c r="H207" s="4" t="str">
        <f>VLOOKUP($A207,'Institution Evaluation'!$A$56:$K$345,8,0)&amp;""</f>
        <v/>
      </c>
      <c r="I207" s="4" t="str">
        <f>VLOOKUP($A207,'Institution Evaluation'!$A$56:$K$345,9,0)&amp;""</f>
        <v>Standard Importance</v>
      </c>
      <c r="J207" s="4" t="str">
        <f>VLOOKUP($A207,'Institution Evaluation'!$A$56:$K$345,10,0)&amp;""</f>
        <v/>
      </c>
      <c r="K207" s="4">
        <f>IF($I207='Auto Responses'!$J$11,20,IF($I207='Auto Responses'!$J$13,5,10))</f>
        <v>10</v>
      </c>
      <c r="L207" s="105">
        <f>IF($E207='Auto Responses'!$L$13, 'Auto Responses'!$J$5,IF(AND($D207='Auto Responses'!$J$27,$H207=""),'Auto Responses'!$J$5,IF(AND($D207='Auto Responses'!$J$27,$H207='Auto Responses'!$J$7),1,IF(AND($D207='Auto Responses'!$J$27,$H207='Auto Responses'!$J$8),0,IF(OR(AND($F207=$G207,$H207=""),$H207='Auto Responses'!$J$7),1,0)))))</f>
        <v>0</v>
      </c>
      <c r="M207" s="4" t="str">
        <f>VLOOKUP($A207,'Institution Evaluation'!$A$56:$K$345,11,0)&amp;""</f>
        <v>FALSE</v>
      </c>
      <c r="N207" s="4">
        <f>IF($J207='Auto Responses'!$J$11,1,IF(AND($J207="",$I207='Auto Responses'!$J$11),1,0))</f>
        <v>0</v>
      </c>
      <c r="O207" s="105" t="str">
        <f>IF(OR($F$21='Auto Responses'!$J$4,$E207='Auto Responses'!$L$13,$F207='Auto Responses'!$J$5),'Auto Responses'!$J$5,IF($J207="",$K207,IF($J207='Auto Responses'!$J$13,5,IF($J207='Auto Responses'!$J$12,10,IF($J207='Auto Responses'!$J$11,20,0)))))</f>
        <v>N/A</v>
      </c>
      <c r="P207" s="105" t="str">
        <f>IF(OR($O207='Auto Responses'!$J$5,$L207='Auto Responses'!$J$5),'Auto Responses'!$J$5,$O207*$L207)</f>
        <v>N/A</v>
      </c>
      <c r="Q207" s="105">
        <f t="shared" si="21"/>
        <v>0</v>
      </c>
      <c r="R207" s="105">
        <f t="shared" si="26"/>
        <v>0</v>
      </c>
      <c r="S207" s="105">
        <f t="shared" si="22"/>
        <v>0</v>
      </c>
      <c r="T207" s="105">
        <f t="shared" si="23"/>
        <v>0</v>
      </c>
      <c r="U207" s="105">
        <f t="shared" si="27"/>
        <v>59</v>
      </c>
      <c r="V207" s="105">
        <f t="shared" si="24"/>
        <v>0</v>
      </c>
    </row>
    <row r="208" spans="1:22" ht="56" x14ac:dyDescent="0.3">
      <c r="A208" s="4" t="str">
        <f>Questions!$A208</f>
        <v>HIPA-22</v>
      </c>
      <c r="B208" s="4" t="str">
        <f t="shared" si="25"/>
        <v>HIPA</v>
      </c>
      <c r="C208" s="4" t="str">
        <f>VLOOKUP($A208,Questions!$A$3:$L$333,2,0)&amp;""</f>
        <v>Does the application log administrative activity, such as user account access changes and password changes, including specific user, date/time of changes, and originating IP or device?</v>
      </c>
      <c r="D208" s="4" t="str">
        <f>VLOOKUP($A208,Questions!$A$3:$L$333,11,0)&amp;""</f>
        <v/>
      </c>
      <c r="E208" s="4" t="str">
        <f>VLOOKUP($A208,Questions!$A$3:$L$333,12,0)&amp;""</f>
        <v>Case-specific</v>
      </c>
      <c r="F208" s="4" t="str">
        <f>VLOOKUP($A208,'Institution Evaluation'!$A$56:$K$345,3,0)&amp;""</f>
        <v/>
      </c>
      <c r="G208" s="4" t="str">
        <f>VLOOKUP($A208,'Institution Evaluation'!$A$56:$K$345,7,0)&amp;""</f>
        <v>Yes</v>
      </c>
      <c r="H208" s="4" t="str">
        <f>VLOOKUP($A208,'Institution Evaluation'!$A$56:$K$345,8,0)&amp;""</f>
        <v/>
      </c>
      <c r="I208" s="4" t="str">
        <f>VLOOKUP($A208,'Institution Evaluation'!$A$56:$K$345,9,0)&amp;""</f>
        <v>Standard Importance</v>
      </c>
      <c r="J208" s="4" t="str">
        <f>VLOOKUP($A208,'Institution Evaluation'!$A$56:$K$345,10,0)&amp;""</f>
        <v/>
      </c>
      <c r="K208" s="4">
        <f>IF($I208='Auto Responses'!$J$11,20,IF($I208='Auto Responses'!$J$13,5,10))</f>
        <v>10</v>
      </c>
      <c r="L208" s="105">
        <f>IF($E208='Auto Responses'!$L$13, 'Auto Responses'!$J$5,IF(AND($D208='Auto Responses'!$J$27,$H208=""),'Auto Responses'!$J$5,IF(AND($D208='Auto Responses'!$J$27,$H208='Auto Responses'!$J$7),1,IF(AND($D208='Auto Responses'!$J$27,$H208='Auto Responses'!$J$8),0,IF(OR(AND($F208=$G208,$H208=""),$H208='Auto Responses'!$J$7),1,0)))))</f>
        <v>0</v>
      </c>
      <c r="M208" s="4" t="str">
        <f>VLOOKUP($A208,'Institution Evaluation'!$A$56:$K$345,11,0)&amp;""</f>
        <v>FALSE</v>
      </c>
      <c r="N208" s="4">
        <f>IF($J208='Auto Responses'!$J$11,1,IF(AND($J208="",$I208='Auto Responses'!$J$11),1,0))</f>
        <v>0</v>
      </c>
      <c r="O208" s="105" t="str">
        <f>IF(OR($F$21='Auto Responses'!$J$4,$E208='Auto Responses'!$L$13,$F208='Auto Responses'!$J$5),'Auto Responses'!$J$5,IF($J208="",$K208,IF($J208='Auto Responses'!$J$13,5,IF($J208='Auto Responses'!$J$12,10,IF($J208='Auto Responses'!$J$11,20,0)))))</f>
        <v>N/A</v>
      </c>
      <c r="P208" s="105" t="str">
        <f>IF(OR($O208='Auto Responses'!$J$5,$L208='Auto Responses'!$J$5),'Auto Responses'!$J$5,$O208*$L208)</f>
        <v>N/A</v>
      </c>
      <c r="Q208" s="105">
        <f t="shared" si="21"/>
        <v>0</v>
      </c>
      <c r="R208" s="105">
        <f t="shared" si="26"/>
        <v>0</v>
      </c>
      <c r="S208" s="105">
        <f t="shared" si="22"/>
        <v>0</v>
      </c>
      <c r="T208" s="105">
        <f t="shared" si="23"/>
        <v>0</v>
      </c>
      <c r="U208" s="105">
        <f t="shared" si="27"/>
        <v>59</v>
      </c>
      <c r="V208" s="105">
        <f t="shared" si="24"/>
        <v>0</v>
      </c>
    </row>
    <row r="209" spans="1:22" ht="56" x14ac:dyDescent="0.3">
      <c r="A209" s="4" t="str">
        <f>Questions!$A209</f>
        <v>HIPA-23</v>
      </c>
      <c r="B209" s="4" t="str">
        <f t="shared" si="25"/>
        <v>HIPA</v>
      </c>
      <c r="C209" s="4" t="str">
        <f>VLOOKUP($A209,Questions!$A$3:$L$333,2,0)&amp;""</f>
        <v>Do you retain logs for at least as long as required by HIPAA regulations?</v>
      </c>
      <c r="D209" s="4" t="str">
        <f>VLOOKUP($A209,Questions!$A$3:$L$333,11,0)&amp;""</f>
        <v/>
      </c>
      <c r="E209" s="4" t="str">
        <f>VLOOKUP($A209,Questions!$A$3:$L$333,12,0)&amp;""</f>
        <v>Case-specific</v>
      </c>
      <c r="F209" s="4" t="str">
        <f>VLOOKUP($A209,'Institution Evaluation'!$A$56:$K$345,3,0)&amp;""</f>
        <v/>
      </c>
      <c r="G209" s="4" t="str">
        <f>VLOOKUP($A209,'Institution Evaluation'!$A$56:$K$345,7,0)&amp;""</f>
        <v>Yes</v>
      </c>
      <c r="H209" s="4" t="str">
        <f>VLOOKUP($A209,'Institution Evaluation'!$A$56:$K$345,8,0)&amp;""</f>
        <v/>
      </c>
      <c r="I209" s="4" t="str">
        <f>VLOOKUP($A209,'Institution Evaluation'!$A$56:$K$345,9,0)&amp;""</f>
        <v>Standard Importance</v>
      </c>
      <c r="J209" s="4" t="str">
        <f>VLOOKUP($A209,'Institution Evaluation'!$A$56:$K$345,10,0)&amp;""</f>
        <v/>
      </c>
      <c r="K209" s="4">
        <f>IF($I209='Auto Responses'!$J$11,20,IF($I209='Auto Responses'!$J$13,5,10))</f>
        <v>10</v>
      </c>
      <c r="L209" s="105">
        <f>IF($E209='Auto Responses'!$L$13, 'Auto Responses'!$J$5,IF(AND($D209='Auto Responses'!$J$27,$H209=""),'Auto Responses'!$J$5,IF(AND($D209='Auto Responses'!$J$27,$H209='Auto Responses'!$J$7),1,IF(AND($D209='Auto Responses'!$J$27,$H209='Auto Responses'!$J$8),0,IF(OR(AND($F209=$G209,$H209=""),$H209='Auto Responses'!$J$7),1,0)))))</f>
        <v>0</v>
      </c>
      <c r="M209" s="4" t="str">
        <f>VLOOKUP($A209,'Institution Evaluation'!$A$56:$K$345,11,0)&amp;""</f>
        <v>FALSE</v>
      </c>
      <c r="N209" s="4">
        <f>IF($J209='Auto Responses'!$J$11,1,IF(AND($J209="",$I209='Auto Responses'!$J$11),1,0))</f>
        <v>0</v>
      </c>
      <c r="O209" s="105" t="str">
        <f>IF(OR($F$21='Auto Responses'!$J$4,$E209='Auto Responses'!$L$13,$F209='Auto Responses'!$J$5),'Auto Responses'!$J$5,IF($J209="",$K209,IF($J209='Auto Responses'!$J$13,5,IF($J209='Auto Responses'!$J$12,10,IF($J209='Auto Responses'!$J$11,20,0)))))</f>
        <v>N/A</v>
      </c>
      <c r="P209" s="105" t="str">
        <f>IF(OR($O209='Auto Responses'!$J$5,$L209='Auto Responses'!$J$5),'Auto Responses'!$J$5,$O209*$L209)</f>
        <v>N/A</v>
      </c>
      <c r="Q209" s="105">
        <f t="shared" si="21"/>
        <v>0</v>
      </c>
      <c r="R209" s="105">
        <f t="shared" si="26"/>
        <v>0</v>
      </c>
      <c r="S209" s="105">
        <f t="shared" si="22"/>
        <v>0</v>
      </c>
      <c r="T209" s="105">
        <f t="shared" si="23"/>
        <v>0</v>
      </c>
      <c r="U209" s="105">
        <f t="shared" si="27"/>
        <v>59</v>
      </c>
      <c r="V209" s="105">
        <f t="shared" si="24"/>
        <v>0</v>
      </c>
    </row>
    <row r="210" spans="1:22" ht="56" x14ac:dyDescent="0.3">
      <c r="A210" s="4" t="str">
        <f>Questions!$A210</f>
        <v>HIPA-24</v>
      </c>
      <c r="B210" s="4" t="str">
        <f t="shared" si="25"/>
        <v>HIPA</v>
      </c>
      <c r="C210" s="4" t="str">
        <f>VLOOKUP($A210,Questions!$A$3:$L$333,2,0)&amp;""</f>
        <v>Can the application logs be archived?</v>
      </c>
      <c r="D210" s="4" t="str">
        <f>VLOOKUP($A210,Questions!$A$3:$L$333,11,0)&amp;""</f>
        <v/>
      </c>
      <c r="E210" s="4" t="str">
        <f>VLOOKUP($A210,Questions!$A$3:$L$333,12,0)&amp;""</f>
        <v>Case-specific</v>
      </c>
      <c r="F210" s="4" t="str">
        <f>VLOOKUP($A210,'Institution Evaluation'!$A$56:$K$345,3,0)&amp;""</f>
        <v/>
      </c>
      <c r="G210" s="4" t="str">
        <f>VLOOKUP($A210,'Institution Evaluation'!$A$56:$K$345,7,0)&amp;""</f>
        <v>Yes</v>
      </c>
      <c r="H210" s="4" t="str">
        <f>VLOOKUP($A210,'Institution Evaluation'!$A$56:$K$345,8,0)&amp;""</f>
        <v/>
      </c>
      <c r="I210" s="4" t="str">
        <f>VLOOKUP($A210,'Institution Evaluation'!$A$56:$K$345,9,0)&amp;""</f>
        <v>Standard Importance</v>
      </c>
      <c r="J210" s="4" t="str">
        <f>VLOOKUP($A210,'Institution Evaluation'!$A$56:$K$345,10,0)&amp;""</f>
        <v/>
      </c>
      <c r="K210" s="4">
        <f>IF($I210='Auto Responses'!$J$11,20,IF($I210='Auto Responses'!$J$13,5,10))</f>
        <v>10</v>
      </c>
      <c r="L210" s="105">
        <f>IF($E210='Auto Responses'!$L$13, 'Auto Responses'!$J$5,IF(AND($D210='Auto Responses'!$J$27,$H210=""),'Auto Responses'!$J$5,IF(AND($D210='Auto Responses'!$J$27,$H210='Auto Responses'!$J$7),1,IF(AND($D210='Auto Responses'!$J$27,$H210='Auto Responses'!$J$8),0,IF(OR(AND($F210=$G210,$H210=""),$H210='Auto Responses'!$J$7),1,0)))))</f>
        <v>0</v>
      </c>
      <c r="M210" s="4" t="str">
        <f>VLOOKUP($A210,'Institution Evaluation'!$A$56:$K$345,11,0)&amp;""</f>
        <v>FALSE</v>
      </c>
      <c r="N210" s="4">
        <f>IF($J210='Auto Responses'!$J$11,1,IF(AND($J210="",$I210='Auto Responses'!$J$11),1,0))</f>
        <v>0</v>
      </c>
      <c r="O210" s="105" t="str">
        <f>IF(OR($F$21='Auto Responses'!$J$4,$E210='Auto Responses'!$L$13,$F210='Auto Responses'!$J$5),'Auto Responses'!$J$5,IF($J210="",$K210,IF($J210='Auto Responses'!$J$13,5,IF($J210='Auto Responses'!$J$12,10,IF($J210='Auto Responses'!$J$11,20,0)))))</f>
        <v>N/A</v>
      </c>
      <c r="P210" s="105" t="str">
        <f>IF(OR($O210='Auto Responses'!$J$5,$L210='Auto Responses'!$J$5),'Auto Responses'!$J$5,$O210*$L210)</f>
        <v>N/A</v>
      </c>
      <c r="Q210" s="105">
        <f t="shared" si="21"/>
        <v>0</v>
      </c>
      <c r="R210" s="105">
        <f t="shared" si="26"/>
        <v>0</v>
      </c>
      <c r="S210" s="105">
        <f t="shared" si="22"/>
        <v>0</v>
      </c>
      <c r="T210" s="105">
        <f t="shared" si="23"/>
        <v>0</v>
      </c>
      <c r="U210" s="105">
        <f t="shared" si="27"/>
        <v>59</v>
      </c>
      <c r="V210" s="105">
        <f t="shared" si="24"/>
        <v>0</v>
      </c>
    </row>
    <row r="211" spans="1:22" ht="56" x14ac:dyDescent="0.3">
      <c r="A211" s="4" t="str">
        <f>Questions!$A211</f>
        <v>HIPA-25</v>
      </c>
      <c r="B211" s="4" t="str">
        <f t="shared" si="25"/>
        <v>HIPA</v>
      </c>
      <c r="C211" s="4" t="str">
        <f>VLOOKUP($A211,Questions!$A$3:$L$333,2,0)&amp;""</f>
        <v>Can the application logs be saved externally?</v>
      </c>
      <c r="D211" s="4" t="str">
        <f>VLOOKUP($A211,Questions!$A$3:$L$333,11,0)&amp;""</f>
        <v/>
      </c>
      <c r="E211" s="4" t="str">
        <f>VLOOKUP($A211,Questions!$A$3:$L$333,12,0)&amp;""</f>
        <v>Case-specific</v>
      </c>
      <c r="F211" s="4" t="str">
        <f>VLOOKUP($A211,'Institution Evaluation'!$A$56:$K$345,3,0)&amp;""</f>
        <v/>
      </c>
      <c r="G211" s="4" t="str">
        <f>VLOOKUP($A211,'Institution Evaluation'!$A$56:$K$345,7,0)&amp;""</f>
        <v>Yes</v>
      </c>
      <c r="H211" s="4" t="str">
        <f>VLOOKUP($A211,'Institution Evaluation'!$A$56:$K$345,8,0)&amp;""</f>
        <v/>
      </c>
      <c r="I211" s="4" t="str">
        <f>VLOOKUP($A211,'Institution Evaluation'!$A$56:$K$345,9,0)&amp;""</f>
        <v>Standard Importance</v>
      </c>
      <c r="J211" s="4" t="str">
        <f>VLOOKUP($A211,'Institution Evaluation'!$A$56:$K$345,10,0)&amp;""</f>
        <v/>
      </c>
      <c r="K211" s="4">
        <f>IF($I211='Auto Responses'!$J$11,20,IF($I211='Auto Responses'!$J$13,5,10))</f>
        <v>10</v>
      </c>
      <c r="L211" s="105">
        <f>IF($E211='Auto Responses'!$L$13, 'Auto Responses'!$J$5,IF(AND($D211='Auto Responses'!$J$27,$H211=""),'Auto Responses'!$J$5,IF(AND($D211='Auto Responses'!$J$27,$H211='Auto Responses'!$J$7),1,IF(AND($D211='Auto Responses'!$J$27,$H211='Auto Responses'!$J$8),0,IF(OR(AND($F211=$G211,$H211=""),$H211='Auto Responses'!$J$7),1,0)))))</f>
        <v>0</v>
      </c>
      <c r="M211" s="4" t="str">
        <f>VLOOKUP($A211,'Institution Evaluation'!$A$56:$K$345,11,0)&amp;""</f>
        <v>FALSE</v>
      </c>
      <c r="N211" s="4">
        <f>IF($J211='Auto Responses'!$J$11,1,IF(AND($J211="",$I211='Auto Responses'!$J$11),1,0))</f>
        <v>0</v>
      </c>
      <c r="O211" s="105" t="str">
        <f>IF(OR($F$21='Auto Responses'!$J$4,$E211='Auto Responses'!$L$13,$F211='Auto Responses'!$J$5),'Auto Responses'!$J$5,IF($J211="",$K211,IF($J211='Auto Responses'!$J$13,5,IF($J211='Auto Responses'!$J$12,10,IF($J211='Auto Responses'!$J$11,20,0)))))</f>
        <v>N/A</v>
      </c>
      <c r="P211" s="105" t="str">
        <f>IF(OR($O211='Auto Responses'!$J$5,$L211='Auto Responses'!$J$5),'Auto Responses'!$J$5,$O211*$L211)</f>
        <v>N/A</v>
      </c>
      <c r="Q211" s="105">
        <f t="shared" si="21"/>
        <v>0</v>
      </c>
      <c r="R211" s="105">
        <f t="shared" si="26"/>
        <v>0</v>
      </c>
      <c r="S211" s="105">
        <f t="shared" si="22"/>
        <v>0</v>
      </c>
      <c r="T211" s="105">
        <f t="shared" si="23"/>
        <v>0</v>
      </c>
      <c r="U211" s="105">
        <f t="shared" si="27"/>
        <v>59</v>
      </c>
      <c r="V211" s="105">
        <f t="shared" si="24"/>
        <v>0</v>
      </c>
    </row>
    <row r="212" spans="1:22" ht="56" x14ac:dyDescent="0.3">
      <c r="A212" s="4" t="str">
        <f>Questions!$A212</f>
        <v>HIPA-26</v>
      </c>
      <c r="B212" s="4" t="str">
        <f t="shared" si="25"/>
        <v>HIPA</v>
      </c>
      <c r="C212" s="4" t="str">
        <f>VLOOKUP($A212,Questions!$A$3:$L$333,2,0)&amp;""</f>
        <v>Do you have a disaster recovery plan and emergency mode operation plan?</v>
      </c>
      <c r="D212" s="4" t="str">
        <f>VLOOKUP($A212,Questions!$A$3:$L$333,11,0)&amp;""</f>
        <v/>
      </c>
      <c r="E212" s="4" t="str">
        <f>VLOOKUP($A212,Questions!$A$3:$L$333,12,0)&amp;""</f>
        <v>Case-specific</v>
      </c>
      <c r="F212" s="4" t="str">
        <f>VLOOKUP($A212,'Institution Evaluation'!$A$56:$K$345,3,0)&amp;""</f>
        <v/>
      </c>
      <c r="G212" s="4" t="str">
        <f>VLOOKUP($A212,'Institution Evaluation'!$A$56:$K$345,7,0)&amp;""</f>
        <v>Yes</v>
      </c>
      <c r="H212" s="4" t="str">
        <f>VLOOKUP($A212,'Institution Evaluation'!$A$56:$K$345,8,0)&amp;""</f>
        <v/>
      </c>
      <c r="I212" s="4" t="str">
        <f>VLOOKUP($A212,'Institution Evaluation'!$A$56:$K$345,9,0)&amp;""</f>
        <v>Standard Importance</v>
      </c>
      <c r="J212" s="4" t="str">
        <f>VLOOKUP($A212,'Institution Evaluation'!$A$56:$K$345,10,0)&amp;""</f>
        <v/>
      </c>
      <c r="K212" s="4">
        <f>IF($I212='Auto Responses'!$J$11,20,IF($I212='Auto Responses'!$J$13,5,10))</f>
        <v>10</v>
      </c>
      <c r="L212" s="105">
        <f>IF($E212='Auto Responses'!$L$13, 'Auto Responses'!$J$5,IF(AND($D212='Auto Responses'!$J$27,$H212=""),'Auto Responses'!$J$5,IF(AND($D212='Auto Responses'!$J$27,$H212='Auto Responses'!$J$7),1,IF(AND($D212='Auto Responses'!$J$27,$H212='Auto Responses'!$J$8),0,IF(OR(AND($F212=$G212,$H212=""),$H212='Auto Responses'!$J$7),1,0)))))</f>
        <v>0</v>
      </c>
      <c r="M212" s="4" t="str">
        <f>VLOOKUP($A212,'Institution Evaluation'!$A$56:$K$345,11,0)&amp;""</f>
        <v>FALSE</v>
      </c>
      <c r="N212" s="4">
        <f>IF($J212='Auto Responses'!$J$11,1,IF(AND($J212="",$I212='Auto Responses'!$J$11),1,0))</f>
        <v>0</v>
      </c>
      <c r="O212" s="105" t="str">
        <f>IF(OR($F$21='Auto Responses'!$J$4,$E212='Auto Responses'!$L$13,$F212='Auto Responses'!$J$5),'Auto Responses'!$J$5,IF($J212="",$K212,IF($J212='Auto Responses'!$J$13,5,IF($J212='Auto Responses'!$J$12,10,IF($J212='Auto Responses'!$J$11,20,0)))))</f>
        <v>N/A</v>
      </c>
      <c r="P212" s="105" t="str">
        <f>IF(OR($O212='Auto Responses'!$J$5,$L212='Auto Responses'!$J$5),'Auto Responses'!$J$5,$O212*$L212)</f>
        <v>N/A</v>
      </c>
      <c r="Q212" s="105">
        <f t="shared" si="21"/>
        <v>0</v>
      </c>
      <c r="R212" s="105">
        <f t="shared" si="26"/>
        <v>0</v>
      </c>
      <c r="S212" s="105">
        <f t="shared" si="22"/>
        <v>0</v>
      </c>
      <c r="T212" s="105">
        <f t="shared" si="23"/>
        <v>0</v>
      </c>
      <c r="U212" s="105">
        <f t="shared" si="27"/>
        <v>59</v>
      </c>
      <c r="V212" s="105">
        <f t="shared" si="24"/>
        <v>0</v>
      </c>
    </row>
    <row r="213" spans="1:22" ht="56" x14ac:dyDescent="0.3">
      <c r="A213" s="4" t="str">
        <f>Questions!$A213</f>
        <v>HIPA-27</v>
      </c>
      <c r="B213" s="4" t="str">
        <f t="shared" si="25"/>
        <v>HIPA</v>
      </c>
      <c r="C213" s="4" t="str">
        <f>VLOOKUP($A213,Questions!$A$3:$L$333,2,0)&amp;""</f>
        <v>Can you provide a HIPAA compliance attestation document?</v>
      </c>
      <c r="D213" s="4" t="str">
        <f>VLOOKUP($A213,Questions!$A$3:$L$333,11,0)&amp;""</f>
        <v/>
      </c>
      <c r="E213" s="4" t="str">
        <f>VLOOKUP($A213,Questions!$A$3:$L$333,12,0)&amp;""</f>
        <v>Case-specific</v>
      </c>
      <c r="F213" s="4" t="str">
        <f>VLOOKUP($A213,'Institution Evaluation'!$A$56:$K$345,3,0)&amp;""</f>
        <v/>
      </c>
      <c r="G213" s="4" t="str">
        <f>VLOOKUP($A213,'Institution Evaluation'!$A$56:$K$345,7,0)&amp;""</f>
        <v>Yes</v>
      </c>
      <c r="H213" s="4" t="str">
        <f>VLOOKUP($A213,'Institution Evaluation'!$A$56:$K$345,8,0)&amp;""</f>
        <v/>
      </c>
      <c r="I213" s="4" t="str">
        <f>VLOOKUP($A213,'Institution Evaluation'!$A$56:$K$345,9,0)&amp;""</f>
        <v>Standard Importance</v>
      </c>
      <c r="J213" s="4" t="str">
        <f>VLOOKUP($A213,'Institution Evaluation'!$A$56:$K$345,10,0)&amp;""</f>
        <v/>
      </c>
      <c r="K213" s="4">
        <f>IF($I213='Auto Responses'!$J$11,20,IF($I213='Auto Responses'!$J$13,5,10))</f>
        <v>10</v>
      </c>
      <c r="L213" s="105">
        <f>IF($E213='Auto Responses'!$L$13, 'Auto Responses'!$J$5,IF(AND($D213='Auto Responses'!$J$27,$H213=""),'Auto Responses'!$J$5,IF(AND($D213='Auto Responses'!$J$27,$H213='Auto Responses'!$J$7),1,IF(AND($D213='Auto Responses'!$J$27,$H213='Auto Responses'!$J$8),0,IF(OR(AND($F213=$G213,$H213=""),$H213='Auto Responses'!$J$7),1,0)))))</f>
        <v>0</v>
      </c>
      <c r="M213" s="4" t="str">
        <f>VLOOKUP($A213,'Institution Evaluation'!$A$56:$K$345,11,0)&amp;""</f>
        <v>FALSE</v>
      </c>
      <c r="N213" s="4">
        <f>IF($J213='Auto Responses'!$J$11,1,IF(AND($J213="",$I213='Auto Responses'!$J$11),1,0))</f>
        <v>0</v>
      </c>
      <c r="O213" s="105" t="str">
        <f>IF(OR($F$21='Auto Responses'!$J$4,$E213='Auto Responses'!$L$13,$F213='Auto Responses'!$J$5),'Auto Responses'!$J$5,IF($J213="",$K213,IF($J213='Auto Responses'!$J$13,5,IF($J213='Auto Responses'!$J$12,10,IF($J213='Auto Responses'!$J$11,20,0)))))</f>
        <v>N/A</v>
      </c>
      <c r="P213" s="105" t="str">
        <f>IF(OR($O213='Auto Responses'!$J$5,$L213='Auto Responses'!$J$5),'Auto Responses'!$J$5,$O213*$L213)</f>
        <v>N/A</v>
      </c>
      <c r="Q213" s="105">
        <f t="shared" si="21"/>
        <v>0</v>
      </c>
      <c r="R213" s="105">
        <f t="shared" si="26"/>
        <v>0</v>
      </c>
      <c r="S213" s="105">
        <f t="shared" si="22"/>
        <v>0</v>
      </c>
      <c r="T213" s="105">
        <f t="shared" si="23"/>
        <v>0</v>
      </c>
      <c r="U213" s="105">
        <f t="shared" si="27"/>
        <v>59</v>
      </c>
      <c r="V213" s="105">
        <f t="shared" si="24"/>
        <v>0</v>
      </c>
    </row>
    <row r="214" spans="1:22" ht="56" x14ac:dyDescent="0.3">
      <c r="A214" s="4" t="str">
        <f>Questions!$A214</f>
        <v>HIPA-28</v>
      </c>
      <c r="B214" s="4" t="str">
        <f t="shared" si="25"/>
        <v>HIPA</v>
      </c>
      <c r="C214" s="4" t="str">
        <f>VLOOKUP($A214,Questions!$A$3:$L$333,2,0)&amp;""</f>
        <v>Are you willing to enter into a Business Associate Agreement (BAA)?</v>
      </c>
      <c r="D214" s="4" t="str">
        <f>VLOOKUP($A214,Questions!$A$3:$L$333,11,0)&amp;""</f>
        <v/>
      </c>
      <c r="E214" s="4" t="str">
        <f>VLOOKUP($A214,Questions!$A$3:$L$333,12,0)&amp;""</f>
        <v>Case-specific</v>
      </c>
      <c r="F214" s="4" t="str">
        <f>VLOOKUP($A214,'Institution Evaluation'!$A$56:$K$345,3,0)&amp;""</f>
        <v/>
      </c>
      <c r="G214" s="4" t="str">
        <f>VLOOKUP($A214,'Institution Evaluation'!$A$56:$K$345,7,0)&amp;""</f>
        <v>Yes</v>
      </c>
      <c r="H214" s="4" t="str">
        <f>VLOOKUP($A214,'Institution Evaluation'!$A$56:$K$345,8,0)&amp;""</f>
        <v/>
      </c>
      <c r="I214" s="4" t="str">
        <f>VLOOKUP($A214,'Institution Evaluation'!$A$56:$K$345,9,0)&amp;""</f>
        <v>Standard Importance</v>
      </c>
      <c r="J214" s="4" t="str">
        <f>VLOOKUP($A214,'Institution Evaluation'!$A$56:$K$345,10,0)&amp;""</f>
        <v/>
      </c>
      <c r="K214" s="4">
        <f>IF($I214='Auto Responses'!$J$11,20,IF($I214='Auto Responses'!$J$13,5,10))</f>
        <v>10</v>
      </c>
      <c r="L214" s="105">
        <f>IF($E214='Auto Responses'!$L$13, 'Auto Responses'!$J$5,IF(AND($D214='Auto Responses'!$J$27,$H214=""),'Auto Responses'!$J$5,IF(AND($D214='Auto Responses'!$J$27,$H214='Auto Responses'!$J$7),1,IF(AND($D214='Auto Responses'!$J$27,$H214='Auto Responses'!$J$8),0,IF(OR(AND($F214=$G214,$H214=""),$H214='Auto Responses'!$J$7),1,0)))))</f>
        <v>0</v>
      </c>
      <c r="M214" s="4" t="str">
        <f>VLOOKUP($A214,'Institution Evaluation'!$A$56:$K$345,11,0)&amp;""</f>
        <v>FALSE</v>
      </c>
      <c r="N214" s="4">
        <f>IF($J214='Auto Responses'!$J$11,1,IF(AND($J214="",$I214='Auto Responses'!$J$11),1,0))</f>
        <v>0</v>
      </c>
      <c r="O214" s="105" t="str">
        <f>IF(OR($F$21='Auto Responses'!$J$4,$E214='Auto Responses'!$L$13,$F214='Auto Responses'!$J$5),'Auto Responses'!$J$5,IF($J214="",$K214,IF($J214='Auto Responses'!$J$13,5,IF($J214='Auto Responses'!$J$12,10,IF($J214='Auto Responses'!$J$11,20,0)))))</f>
        <v>N/A</v>
      </c>
      <c r="P214" s="105" t="str">
        <f>IF(OR($O214='Auto Responses'!$J$5,$L214='Auto Responses'!$J$5),'Auto Responses'!$J$5,$O214*$L214)</f>
        <v>N/A</v>
      </c>
      <c r="Q214" s="105">
        <f t="shared" si="21"/>
        <v>0</v>
      </c>
      <c r="R214" s="105">
        <f t="shared" si="26"/>
        <v>0</v>
      </c>
      <c r="S214" s="105">
        <f t="shared" si="22"/>
        <v>0</v>
      </c>
      <c r="T214" s="105">
        <f t="shared" si="23"/>
        <v>0</v>
      </c>
      <c r="U214" s="105">
        <f t="shared" si="27"/>
        <v>59</v>
      </c>
      <c r="V214" s="105">
        <f t="shared" si="24"/>
        <v>0</v>
      </c>
    </row>
    <row r="215" spans="1:22" ht="56" x14ac:dyDescent="0.3">
      <c r="A215" s="4" t="str">
        <f>Questions!$A215</f>
        <v>HIPA-29</v>
      </c>
      <c r="B215" s="4" t="str">
        <f t="shared" si="25"/>
        <v>HIPA</v>
      </c>
      <c r="C215" s="4" t="str">
        <f>VLOOKUP($A215,Questions!$A$3:$L$333,2,0)&amp;""</f>
        <v>Do your data backup and retention policies and practices meet HIPAA requirements?</v>
      </c>
      <c r="D215" s="4" t="str">
        <f>VLOOKUP($A215,Questions!$A$3:$L$333,11,0)&amp;""</f>
        <v/>
      </c>
      <c r="E215" s="4" t="str">
        <f>VLOOKUP($A215,Questions!$A$3:$L$333,12,0)&amp;""</f>
        <v>Case-specific</v>
      </c>
      <c r="F215" s="4" t="str">
        <f>VLOOKUP($A215,'Institution Evaluation'!$A$56:$K$345,3,0)&amp;""</f>
        <v/>
      </c>
      <c r="G215" s="4" t="str">
        <f>VLOOKUP($A215,'Institution Evaluation'!$A$56:$K$345,7,0)&amp;""</f>
        <v>Yes</v>
      </c>
      <c r="H215" s="4" t="str">
        <f>VLOOKUP($A215,'Institution Evaluation'!$A$56:$K$345,8,0)&amp;""</f>
        <v/>
      </c>
      <c r="I215" s="4" t="str">
        <f>VLOOKUP($A215,'Institution Evaluation'!$A$56:$K$345,9,0)&amp;""</f>
        <v>Minor Importance</v>
      </c>
      <c r="J215" s="4" t="str">
        <f>VLOOKUP($A215,'Institution Evaluation'!$A$56:$K$345,10,0)&amp;""</f>
        <v/>
      </c>
      <c r="K215" s="4">
        <f>IF($I215='Auto Responses'!$J$11,20,IF($I215='Auto Responses'!$J$13,5,10))</f>
        <v>5</v>
      </c>
      <c r="L215" s="105">
        <f>IF($E215='Auto Responses'!$L$13, 'Auto Responses'!$J$5,IF(AND($D215='Auto Responses'!$J$27,$H215=""),'Auto Responses'!$J$5,IF(AND($D215='Auto Responses'!$J$27,$H215='Auto Responses'!$J$7),1,IF(AND($D215='Auto Responses'!$J$27,$H215='Auto Responses'!$J$8),0,IF(OR(AND($F215=$G215,$H215=""),$H215='Auto Responses'!$J$7),1,0)))))</f>
        <v>0</v>
      </c>
      <c r="M215" s="4" t="str">
        <f>VLOOKUP($A215,'Institution Evaluation'!$A$56:$K$345,11,0)&amp;""</f>
        <v>FALSE</v>
      </c>
      <c r="N215" s="4">
        <f>IF($J215='Auto Responses'!$J$11,1,IF(AND($J215="",$I215='Auto Responses'!$J$11),1,0))</f>
        <v>0</v>
      </c>
      <c r="O215" s="105" t="str">
        <f>IF(OR($F$21='Auto Responses'!$J$4,$E215='Auto Responses'!$L$13,$F215='Auto Responses'!$J$5),'Auto Responses'!$J$5,IF($J215="",$K215,IF($J215='Auto Responses'!$J$13,5,IF($J215='Auto Responses'!$J$12,10,IF($J215='Auto Responses'!$J$11,20,0)))))</f>
        <v>N/A</v>
      </c>
      <c r="P215" s="105" t="str">
        <f>IF(OR($O215='Auto Responses'!$J$5,$L215='Auto Responses'!$J$5),'Auto Responses'!$J$5,$O215*$L215)</f>
        <v>N/A</v>
      </c>
      <c r="Q215" s="105">
        <f t="shared" si="21"/>
        <v>0</v>
      </c>
      <c r="R215" s="105">
        <f t="shared" si="26"/>
        <v>0</v>
      </c>
      <c r="S215" s="105">
        <f t="shared" si="22"/>
        <v>0</v>
      </c>
      <c r="T215" s="105">
        <f t="shared" si="23"/>
        <v>0</v>
      </c>
      <c r="U215" s="105">
        <f t="shared" si="27"/>
        <v>59</v>
      </c>
      <c r="V215" s="105">
        <f t="shared" si="24"/>
        <v>0</v>
      </c>
    </row>
    <row r="216" spans="1:22" ht="56" x14ac:dyDescent="0.3">
      <c r="A216" s="4" t="str">
        <f>Questions!$A216</f>
        <v>PCID-01</v>
      </c>
      <c r="B216" s="4" t="str">
        <f t="shared" si="25"/>
        <v>PCID</v>
      </c>
      <c r="C216" s="4" t="str">
        <f>VLOOKUP($A216,Questions!$A$3:$L$333,2,0)&amp;""</f>
        <v>Do you have a current, executed within the past year, Attestation of Compliance (AoC) or Report on Compliance (RoC)?*</v>
      </c>
      <c r="D216" s="4" t="str">
        <f>VLOOKUP($A216,Questions!$A$3:$L$333,11,0)&amp;""</f>
        <v/>
      </c>
      <c r="E216" s="4" t="str">
        <f>VLOOKUP($A216,Questions!$A$3:$L$333,12,0)&amp;""</f>
        <v>Case-Specific</v>
      </c>
      <c r="F216" s="4" t="str">
        <f>VLOOKUP($A216,'Institution Evaluation'!$A$56:$K$345,3,0)&amp;""</f>
        <v/>
      </c>
      <c r="G216" s="4" t="str">
        <f>VLOOKUP($A216,'Institution Evaluation'!$A$56:$K$345,7,0)&amp;""</f>
        <v>Yes</v>
      </c>
      <c r="H216" s="4" t="str">
        <f>VLOOKUP($A216,'Institution Evaluation'!$A$56:$K$345,8,0)&amp;""</f>
        <v/>
      </c>
      <c r="I216" s="4" t="str">
        <f>VLOOKUP($A216,'Institution Evaluation'!$A$56:$K$345,9,0)&amp;""</f>
        <v>Critical Importance</v>
      </c>
      <c r="J216" s="4" t="str">
        <f>VLOOKUP($A216,'Institution Evaluation'!$A$56:$K$345,10,0)&amp;""</f>
        <v/>
      </c>
      <c r="K216" s="4">
        <f>IF($I216='Auto Responses'!$J$11,20,IF($I216='Auto Responses'!$J$13,5,10))</f>
        <v>20</v>
      </c>
      <c r="L216" s="105">
        <f>IF($E216='Auto Responses'!$L$13, 'Auto Responses'!$J$5,IF(AND($D216='Auto Responses'!$J$27,$H216=""),'Auto Responses'!$J$5,IF(AND($D216='Auto Responses'!$J$27,$H216='Auto Responses'!$J$7),1,IF(AND($D216='Auto Responses'!$J$27,$H216='Auto Responses'!$J$8),0,IF(OR(AND($F216=$G216,$H216=""),$H216='Auto Responses'!$J$7),1,0)))))</f>
        <v>0</v>
      </c>
      <c r="M216" s="4" t="str">
        <f>VLOOKUP($A216,'Institution Evaluation'!$A$56:$K$345,11,0)&amp;""</f>
        <v>FALSE</v>
      </c>
      <c r="N216" s="4">
        <f>IF($J216='Auto Responses'!$J$11,1,IF(AND($J216="",$I216='Auto Responses'!$J$11),1,0))</f>
        <v>1</v>
      </c>
      <c r="O216" s="105" t="str">
        <f>IF(OR($F$22='Auto Responses'!$J$4,$E216='Auto Responses'!$L$13,$F216='Auto Responses'!$J$5),'Auto Responses'!$J$5,IF($J216="",$K216,IF($J216='Auto Responses'!$J$13,5,IF($J216='Auto Responses'!$J$12,10,IF($J216='Auto Responses'!$J$11,20,0)))))</f>
        <v>N/A</v>
      </c>
      <c r="P216" s="105" t="str">
        <f>IF(OR($O216='Auto Responses'!$J$5,$L216='Auto Responses'!$J$5),'Auto Responses'!$J$5,$O216*$L216)</f>
        <v>N/A</v>
      </c>
      <c r="Q216" s="105">
        <f t="shared" si="21"/>
        <v>0</v>
      </c>
      <c r="R216" s="105">
        <f t="shared" si="26"/>
        <v>0</v>
      </c>
      <c r="S216" s="105">
        <f t="shared" si="22"/>
        <v>0</v>
      </c>
      <c r="T216" s="105">
        <f t="shared" si="23"/>
        <v>1</v>
      </c>
      <c r="U216" s="105">
        <f t="shared" si="27"/>
        <v>60</v>
      </c>
      <c r="V216" s="105">
        <f t="shared" si="24"/>
        <v>60</v>
      </c>
    </row>
    <row r="217" spans="1:22" ht="56" x14ac:dyDescent="0.3">
      <c r="A217" s="4" t="str">
        <f>Questions!$A217</f>
        <v>PCID-02</v>
      </c>
      <c r="B217" s="4" t="str">
        <f t="shared" si="25"/>
        <v>PCID</v>
      </c>
      <c r="C217" s="4" t="str">
        <f>VLOOKUP($A217,Questions!$A$3:$L$333,2,0)&amp;""</f>
        <v>Is the application listed as an approved Payment Application Data Security Standard (PA-DSS) application?*</v>
      </c>
      <c r="D217" s="4" t="str">
        <f>VLOOKUP($A217,Questions!$A$3:$L$333,11,0)&amp;""</f>
        <v/>
      </c>
      <c r="E217" s="4" t="str">
        <f>VLOOKUP($A217,Questions!$A$3:$L$333,12,0)&amp;""</f>
        <v>Case-Specific</v>
      </c>
      <c r="F217" s="4" t="str">
        <f>VLOOKUP($A217,'Institution Evaluation'!$A$56:$K$345,3,0)&amp;""</f>
        <v/>
      </c>
      <c r="G217" s="4" t="str">
        <f>VLOOKUP($A217,'Institution Evaluation'!$A$56:$K$345,7,0)&amp;""</f>
        <v>No</v>
      </c>
      <c r="H217" s="4" t="str">
        <f>VLOOKUP($A217,'Institution Evaluation'!$A$56:$K$345,8,0)&amp;""</f>
        <v/>
      </c>
      <c r="I217" s="4" t="str">
        <f>VLOOKUP($A217,'Institution Evaluation'!$A$56:$K$345,9,0)&amp;""</f>
        <v>Critical Importance</v>
      </c>
      <c r="J217" s="4" t="str">
        <f>VLOOKUP($A217,'Institution Evaluation'!$A$56:$K$345,10,0)&amp;""</f>
        <v/>
      </c>
      <c r="K217" s="4">
        <f>IF($I217='Auto Responses'!$J$11,20,IF($I217='Auto Responses'!$J$13,5,10))</f>
        <v>20</v>
      </c>
      <c r="L217" s="105">
        <f>IF($E217='Auto Responses'!$L$13, 'Auto Responses'!$J$5,IF(AND($D217='Auto Responses'!$J$27,$H217=""),'Auto Responses'!$J$5,IF(AND($D217='Auto Responses'!$J$27,$H217='Auto Responses'!$J$7),1,IF(AND($D217='Auto Responses'!$J$27,$H217='Auto Responses'!$J$8),0,IF(OR(AND($F217=$G217,$H217=""),$H217='Auto Responses'!$J$7),1,0)))))</f>
        <v>0</v>
      </c>
      <c r="M217" s="4" t="str">
        <f>VLOOKUP($A217,'Institution Evaluation'!$A$56:$K$345,11,0)&amp;""</f>
        <v>FALSE</v>
      </c>
      <c r="N217" s="4">
        <f>IF($J217='Auto Responses'!$J$11,1,IF(AND($J217="",$I217='Auto Responses'!$J$11),1,0))</f>
        <v>1</v>
      </c>
      <c r="O217" s="105" t="str">
        <f>IF(OR($F$22='Auto Responses'!$J$4,$E217='Auto Responses'!$L$13,$F217='Auto Responses'!$J$5),'Auto Responses'!$J$5,IF($J217="",$K217,IF($J217='Auto Responses'!$J$13,5,IF($J217='Auto Responses'!$J$12,10,IF($J217='Auto Responses'!$J$11,20,0)))))</f>
        <v>N/A</v>
      </c>
      <c r="P217" s="105" t="str">
        <f>IF(OR($O217='Auto Responses'!$J$5,$L217='Auto Responses'!$J$5),'Auto Responses'!$J$5,$O217*$L217)</f>
        <v>N/A</v>
      </c>
      <c r="Q217" s="105">
        <f t="shared" si="21"/>
        <v>0</v>
      </c>
      <c r="R217" s="105">
        <f t="shared" si="26"/>
        <v>0</v>
      </c>
      <c r="S217" s="105">
        <f t="shared" si="22"/>
        <v>0</v>
      </c>
      <c r="T217" s="105">
        <f t="shared" si="23"/>
        <v>1</v>
      </c>
      <c r="U217" s="105">
        <f t="shared" si="27"/>
        <v>61</v>
      </c>
      <c r="V217" s="105">
        <f t="shared" si="24"/>
        <v>61</v>
      </c>
    </row>
    <row r="218" spans="1:22" ht="56" x14ac:dyDescent="0.3">
      <c r="A218" s="4" t="str">
        <f>Questions!$A218</f>
        <v>PCID-03</v>
      </c>
      <c r="B218" s="4" t="str">
        <f t="shared" si="25"/>
        <v>PCID</v>
      </c>
      <c r="C218" s="4" t="str">
        <f>VLOOKUP($A218,Questions!$A$3:$L$333,2,0)&amp;""</f>
        <v>Does the system or solutions use a third party to collect, store, process, or transmit cardholder (payment/credit/debt card) data?*</v>
      </c>
      <c r="D218" s="4" t="str">
        <f>VLOOKUP($A218,Questions!$A$3:$L$333,11,0)&amp;""</f>
        <v/>
      </c>
      <c r="E218" s="4" t="str">
        <f>VLOOKUP($A218,Questions!$A$3:$L$333,12,0)&amp;""</f>
        <v>Case-Specific</v>
      </c>
      <c r="F218" s="4" t="str">
        <f>VLOOKUP($A218,'Institution Evaluation'!$A$56:$K$345,3,0)&amp;""</f>
        <v/>
      </c>
      <c r="G218" s="4" t="str">
        <f>VLOOKUP($A218,'Institution Evaluation'!$A$56:$K$345,7,0)&amp;""</f>
        <v>No</v>
      </c>
      <c r="H218" s="4" t="str">
        <f>VLOOKUP($A218,'Institution Evaluation'!$A$56:$K$345,8,0)&amp;""</f>
        <v/>
      </c>
      <c r="I218" s="4" t="str">
        <f>VLOOKUP($A218,'Institution Evaluation'!$A$56:$K$345,9,0)&amp;""</f>
        <v>Critical Importance</v>
      </c>
      <c r="J218" s="4" t="str">
        <f>VLOOKUP($A218,'Institution Evaluation'!$A$56:$K$345,10,0)&amp;""</f>
        <v/>
      </c>
      <c r="K218" s="4">
        <f>IF($I218='Auto Responses'!$J$11,20,IF($I218='Auto Responses'!$J$13,5,10))</f>
        <v>20</v>
      </c>
      <c r="L218" s="105">
        <f>IF($E218='Auto Responses'!$L$13, 'Auto Responses'!$J$5,IF(AND($D218='Auto Responses'!$J$27,$H218=""),'Auto Responses'!$J$5,IF(AND($D218='Auto Responses'!$J$27,$H218='Auto Responses'!$J$7),1,IF(AND($D218='Auto Responses'!$J$27,$H218='Auto Responses'!$J$8),0,IF(OR(AND($F218=$G218,$H218=""),$H218='Auto Responses'!$J$7),1,0)))))</f>
        <v>0</v>
      </c>
      <c r="M218" s="4" t="str">
        <f>VLOOKUP($A218,'Institution Evaluation'!$A$56:$K$345,11,0)&amp;""</f>
        <v>FALSE</v>
      </c>
      <c r="N218" s="4">
        <f>IF($J218='Auto Responses'!$J$11,1,IF(AND($J218="",$I218='Auto Responses'!$J$11),1,0))</f>
        <v>1</v>
      </c>
      <c r="O218" s="105" t="str">
        <f>IF(OR($F$22='Auto Responses'!$J$4,$E218='Auto Responses'!$L$13,$F218='Auto Responses'!$J$5),'Auto Responses'!$J$5,IF($J218="",$K218,IF($J218='Auto Responses'!$J$13,5,IF($J218='Auto Responses'!$J$12,10,IF($J218='Auto Responses'!$J$11,20,0)))))</f>
        <v>N/A</v>
      </c>
      <c r="P218" s="105" t="str">
        <f>IF(OR($O218='Auto Responses'!$J$5,$L218='Auto Responses'!$J$5),'Auto Responses'!$J$5,$O218*$L218)</f>
        <v>N/A</v>
      </c>
      <c r="Q218" s="105">
        <f t="shared" si="21"/>
        <v>0</v>
      </c>
      <c r="R218" s="105">
        <f t="shared" si="26"/>
        <v>0</v>
      </c>
      <c r="S218" s="105">
        <f t="shared" si="22"/>
        <v>0</v>
      </c>
      <c r="T218" s="105">
        <f t="shared" si="23"/>
        <v>1</v>
      </c>
      <c r="U218" s="105">
        <f t="shared" si="27"/>
        <v>62</v>
      </c>
      <c r="V218" s="105">
        <f t="shared" si="24"/>
        <v>62</v>
      </c>
    </row>
    <row r="219" spans="1:22" ht="56" x14ac:dyDescent="0.3">
      <c r="A219" s="4" t="str">
        <f>Questions!$A219</f>
        <v>PCID-04</v>
      </c>
      <c r="B219" s="4" t="str">
        <f t="shared" si="25"/>
        <v>PCID</v>
      </c>
      <c r="C219" s="4" t="str">
        <f>VLOOKUP($A219,Questions!$A$3:$L$333,2,0)&amp;""</f>
        <v>Do your systems or solutions store, process, or transmit cardholder (payment/credit/debt card) data?</v>
      </c>
      <c r="D219" s="4" t="str">
        <f>VLOOKUP($A219,Questions!$A$3:$L$333,11,0)&amp;""</f>
        <v/>
      </c>
      <c r="E219" s="4" t="str">
        <f>VLOOKUP($A219,Questions!$A$3:$L$333,12,0)&amp;""</f>
        <v>Case-Specific</v>
      </c>
      <c r="F219" s="4" t="str">
        <f>VLOOKUP($A219,'Institution Evaluation'!$A$56:$K$345,3,0)&amp;""</f>
        <v/>
      </c>
      <c r="G219" s="4" t="str">
        <f>VLOOKUP($A219,'Institution Evaluation'!$A$56:$K$345,7,0)&amp;""</f>
        <v>Yes</v>
      </c>
      <c r="H219" s="4" t="str">
        <f>VLOOKUP($A219,'Institution Evaluation'!$A$56:$K$345,8,0)&amp;""</f>
        <v/>
      </c>
      <c r="I219" s="4" t="str">
        <f>VLOOKUP($A219,'Institution Evaluation'!$A$56:$K$345,9,0)&amp;""</f>
        <v>Standard Importance</v>
      </c>
      <c r="J219" s="4" t="str">
        <f>VLOOKUP($A219,'Institution Evaluation'!$A$56:$K$345,10,0)&amp;""</f>
        <v/>
      </c>
      <c r="K219" s="4">
        <f>IF($I219='Auto Responses'!$J$11,20,IF($I219='Auto Responses'!$J$13,5,10))</f>
        <v>10</v>
      </c>
      <c r="L219" s="105">
        <f>IF($E219='Auto Responses'!$L$13, 'Auto Responses'!$J$5,IF(AND($D219='Auto Responses'!$J$27,$H219=""),'Auto Responses'!$J$5,IF(AND($D219='Auto Responses'!$J$27,$H219='Auto Responses'!$J$7),1,IF(AND($D219='Auto Responses'!$J$27,$H219='Auto Responses'!$J$8),0,IF(OR(AND($F219=$G219,$H219=""),$H219='Auto Responses'!$J$7),1,0)))))</f>
        <v>0</v>
      </c>
      <c r="M219" s="4" t="str">
        <f>VLOOKUP($A219,'Institution Evaluation'!$A$56:$K$345,11,0)&amp;""</f>
        <v>FALSE</v>
      </c>
      <c r="N219" s="4">
        <f>IF($J219='Auto Responses'!$J$11,1,IF(AND($J219="",$I219='Auto Responses'!$J$11),1,0))</f>
        <v>0</v>
      </c>
      <c r="O219" s="105" t="str">
        <f>IF(OR($F$22='Auto Responses'!$J$4,$E219='Auto Responses'!$L$13,$F219='Auto Responses'!$J$5),'Auto Responses'!$J$5,IF($J219="",$K219,IF($J219='Auto Responses'!$J$13,5,IF($J219='Auto Responses'!$J$12,10,IF($J219='Auto Responses'!$J$11,20,0)))))</f>
        <v>N/A</v>
      </c>
      <c r="P219" s="105" t="str">
        <f>IF(OR($O219='Auto Responses'!$J$5,$L219='Auto Responses'!$J$5),'Auto Responses'!$J$5,$O219*$L219)</f>
        <v>N/A</v>
      </c>
      <c r="Q219" s="105">
        <f t="shared" si="21"/>
        <v>0</v>
      </c>
      <c r="R219" s="105">
        <f t="shared" si="26"/>
        <v>0</v>
      </c>
      <c r="S219" s="105">
        <f t="shared" si="22"/>
        <v>0</v>
      </c>
      <c r="T219" s="105">
        <f t="shared" si="23"/>
        <v>0</v>
      </c>
      <c r="U219" s="105">
        <f t="shared" si="27"/>
        <v>62</v>
      </c>
      <c r="V219" s="105">
        <f t="shared" si="24"/>
        <v>0</v>
      </c>
    </row>
    <row r="220" spans="1:22" ht="56" x14ac:dyDescent="0.3">
      <c r="A220" s="4" t="str">
        <f>Questions!$A220</f>
        <v>PCID-05</v>
      </c>
      <c r="B220" s="4" t="str">
        <f t="shared" si="25"/>
        <v>PCID</v>
      </c>
      <c r="C220" s="4" t="str">
        <f>VLOOKUP($A220,Questions!$A$3:$L$333,2,0)&amp;""</f>
        <v>Are you compliant with the Payment Card Industry Data Security Standard (PCI DSS)?</v>
      </c>
      <c r="D220" s="4" t="str">
        <f>VLOOKUP($A220,Questions!$A$3:$L$333,11,0)&amp;""</f>
        <v/>
      </c>
      <c r="E220" s="4" t="str">
        <f>VLOOKUP($A220,Questions!$A$3:$L$333,12,0)&amp;""</f>
        <v>Case-Specific</v>
      </c>
      <c r="F220" s="4" t="str">
        <f>VLOOKUP($A220,'Institution Evaluation'!$A$56:$K$345,3,0)&amp;""</f>
        <v/>
      </c>
      <c r="G220" s="4" t="str">
        <f>VLOOKUP($A220,'Institution Evaluation'!$A$56:$K$345,7,0)&amp;""</f>
        <v>Yes</v>
      </c>
      <c r="H220" s="4" t="str">
        <f>VLOOKUP($A220,'Institution Evaluation'!$A$56:$K$345,8,0)&amp;""</f>
        <v/>
      </c>
      <c r="I220" s="4" t="str">
        <f>VLOOKUP($A220,'Institution Evaluation'!$A$56:$K$345,9,0)&amp;""</f>
        <v>Standard Importance</v>
      </c>
      <c r="J220" s="4" t="str">
        <f>VLOOKUP($A220,'Institution Evaluation'!$A$56:$K$345,10,0)&amp;""</f>
        <v/>
      </c>
      <c r="K220" s="4">
        <f>IF($I220='Auto Responses'!$J$11,20,IF($I220='Auto Responses'!$J$13,5,10))</f>
        <v>10</v>
      </c>
      <c r="L220" s="105">
        <f>IF($E220='Auto Responses'!$L$13, 'Auto Responses'!$J$5,IF(AND($D220='Auto Responses'!$J$27,$H220=""),'Auto Responses'!$J$5,IF(AND($D220='Auto Responses'!$J$27,$H220='Auto Responses'!$J$7),1,IF(AND($D220='Auto Responses'!$J$27,$H220='Auto Responses'!$J$8),0,IF(OR(AND($F220=$G220,$H220=""),$H220='Auto Responses'!$J$7),1,0)))))</f>
        <v>0</v>
      </c>
      <c r="M220" s="4" t="str">
        <f>VLOOKUP($A220,'Institution Evaluation'!$A$56:$K$345,11,0)&amp;""</f>
        <v>FALSE</v>
      </c>
      <c r="N220" s="4">
        <f>IF($J220='Auto Responses'!$J$11,1,IF(AND($J220="",$I220='Auto Responses'!$J$11),1,0))</f>
        <v>0</v>
      </c>
      <c r="O220" s="105" t="str">
        <f>IF(OR($F$22='Auto Responses'!$J$4,$E220='Auto Responses'!$L$13,$F220='Auto Responses'!$J$5),'Auto Responses'!$J$5,IF($J220="",$K220,IF($J220='Auto Responses'!$J$13,5,IF($J220='Auto Responses'!$J$12,10,IF($J220='Auto Responses'!$J$11,20,0)))))</f>
        <v>N/A</v>
      </c>
      <c r="P220" s="105" t="str">
        <f>IF(OR($O220='Auto Responses'!$J$5,$L220='Auto Responses'!$J$5),'Auto Responses'!$J$5,$O220*$L220)</f>
        <v>N/A</v>
      </c>
      <c r="Q220" s="105">
        <f t="shared" si="21"/>
        <v>0</v>
      </c>
      <c r="R220" s="105">
        <f t="shared" si="26"/>
        <v>0</v>
      </c>
      <c r="S220" s="105">
        <f t="shared" si="22"/>
        <v>0</v>
      </c>
      <c r="T220" s="105">
        <f t="shared" si="23"/>
        <v>0</v>
      </c>
      <c r="U220" s="105">
        <f t="shared" si="27"/>
        <v>62</v>
      </c>
      <c r="V220" s="105">
        <f t="shared" si="24"/>
        <v>0</v>
      </c>
    </row>
    <row r="221" spans="1:22" ht="56" x14ac:dyDescent="0.3">
      <c r="A221" s="4" t="str">
        <f>Questions!$A221</f>
        <v>PCID-06</v>
      </c>
      <c r="B221" s="4" t="str">
        <f t="shared" si="25"/>
        <v>PCID</v>
      </c>
      <c r="C221" s="4" t="str">
        <f>VLOOKUP($A221,Questions!$A$3:$L$333,2,0)&amp;""</f>
        <v>Are you classified as a service provider?</v>
      </c>
      <c r="D221" s="4" t="str">
        <f>VLOOKUP($A221,Questions!$A$3:$L$333,11,0)&amp;""</f>
        <v/>
      </c>
      <c r="E221" s="4" t="str">
        <f>VLOOKUP($A221,Questions!$A$3:$L$333,12,0)&amp;""</f>
        <v>Case-Specific</v>
      </c>
      <c r="F221" s="4" t="str">
        <f>VLOOKUP($A221,'Institution Evaluation'!$A$56:$K$345,3,0)&amp;""</f>
        <v/>
      </c>
      <c r="G221" s="4" t="str">
        <f>VLOOKUP($A221,'Institution Evaluation'!$A$56:$K$345,7,0)&amp;""</f>
        <v>Yes</v>
      </c>
      <c r="H221" s="4" t="str">
        <f>VLOOKUP($A221,'Institution Evaluation'!$A$56:$K$345,8,0)&amp;""</f>
        <v/>
      </c>
      <c r="I221" s="4" t="str">
        <f>VLOOKUP($A221,'Institution Evaluation'!$A$56:$K$345,9,0)&amp;""</f>
        <v>Standard Importance</v>
      </c>
      <c r="J221" s="4" t="str">
        <f>VLOOKUP($A221,'Institution Evaluation'!$A$56:$K$345,10,0)&amp;""</f>
        <v/>
      </c>
      <c r="K221" s="4">
        <f>IF($I221='Auto Responses'!$J$11,20,IF($I221='Auto Responses'!$J$13,5,10))</f>
        <v>10</v>
      </c>
      <c r="L221" s="105">
        <f>IF($E221='Auto Responses'!$L$13, 'Auto Responses'!$J$5,IF(AND($D221='Auto Responses'!$J$27,$H221=""),'Auto Responses'!$J$5,IF(AND($D221='Auto Responses'!$J$27,$H221='Auto Responses'!$J$7),1,IF(AND($D221='Auto Responses'!$J$27,$H221='Auto Responses'!$J$8),0,IF(OR(AND($F221=$G221,$H221=""),$H221='Auto Responses'!$J$7),1,0)))))</f>
        <v>0</v>
      </c>
      <c r="M221" s="4" t="str">
        <f>VLOOKUP($A221,'Institution Evaluation'!$A$56:$K$345,11,0)&amp;""</f>
        <v>FALSE</v>
      </c>
      <c r="N221" s="4">
        <f>IF($J221='Auto Responses'!$J$11,1,IF(AND($J221="",$I221='Auto Responses'!$J$11),1,0))</f>
        <v>0</v>
      </c>
      <c r="O221" s="105" t="str">
        <f>IF(OR($F$22='Auto Responses'!$J$4,$E221='Auto Responses'!$L$13,$F221='Auto Responses'!$J$5),'Auto Responses'!$J$5,IF($J221="",$K221,IF($J221='Auto Responses'!$J$13,5,IF($J221='Auto Responses'!$J$12,10,IF($J221='Auto Responses'!$J$11,20,0)))))</f>
        <v>N/A</v>
      </c>
      <c r="P221" s="105" t="str">
        <f>IF(OR($O221='Auto Responses'!$J$5,$L221='Auto Responses'!$J$5),'Auto Responses'!$J$5,$O221*$L221)</f>
        <v>N/A</v>
      </c>
      <c r="Q221" s="105">
        <f t="shared" si="21"/>
        <v>0</v>
      </c>
      <c r="R221" s="105">
        <f t="shared" si="26"/>
        <v>0</v>
      </c>
      <c r="S221" s="105">
        <f t="shared" si="22"/>
        <v>0</v>
      </c>
      <c r="T221" s="105">
        <f t="shared" si="23"/>
        <v>0</v>
      </c>
      <c r="U221" s="105">
        <f t="shared" si="27"/>
        <v>62</v>
      </c>
      <c r="V221" s="105">
        <f t="shared" si="24"/>
        <v>0</v>
      </c>
    </row>
    <row r="222" spans="1:22" ht="56" x14ac:dyDescent="0.3">
      <c r="A222" s="4" t="str">
        <f>Questions!$A222</f>
        <v>PCID-07</v>
      </c>
      <c r="B222" s="4" t="str">
        <f t="shared" si="25"/>
        <v>PCID</v>
      </c>
      <c r="C222" s="4" t="str">
        <f>VLOOKUP($A222,Questions!$A$3:$L$333,2,0)&amp;""</f>
        <v>Are you on the list of Visa approved service providers?</v>
      </c>
      <c r="D222" s="4" t="str">
        <f>VLOOKUP($A222,Questions!$A$3:$L$333,11,0)&amp;""</f>
        <v/>
      </c>
      <c r="E222" s="4" t="str">
        <f>VLOOKUP($A222,Questions!$A$3:$L$333,12,0)&amp;""</f>
        <v>Case-Specific</v>
      </c>
      <c r="F222" s="4" t="str">
        <f>VLOOKUP($A222,'Institution Evaluation'!$A$56:$K$345,3,0)&amp;""</f>
        <v/>
      </c>
      <c r="G222" s="4" t="str">
        <f>VLOOKUP($A222,'Institution Evaluation'!$A$56:$K$345,7,0)&amp;""</f>
        <v>Yes</v>
      </c>
      <c r="H222" s="4" t="str">
        <f>VLOOKUP($A222,'Institution Evaluation'!$A$56:$K$345,8,0)&amp;""</f>
        <v/>
      </c>
      <c r="I222" s="4" t="str">
        <f>VLOOKUP($A222,'Institution Evaluation'!$A$56:$K$345,9,0)&amp;""</f>
        <v>Standard Importance</v>
      </c>
      <c r="J222" s="4" t="str">
        <f>VLOOKUP($A222,'Institution Evaluation'!$A$56:$K$345,10,0)&amp;""</f>
        <v/>
      </c>
      <c r="K222" s="4">
        <f>IF($I222='Auto Responses'!$J$11,20,IF($I222='Auto Responses'!$J$13,5,10))</f>
        <v>10</v>
      </c>
      <c r="L222" s="105">
        <f>IF($E222='Auto Responses'!$L$13, 'Auto Responses'!$J$5,IF(AND($D222='Auto Responses'!$J$27,$H222=""),'Auto Responses'!$J$5,IF(AND($D222='Auto Responses'!$J$27,$H222='Auto Responses'!$J$7),1,IF(AND($D222='Auto Responses'!$J$27,$H222='Auto Responses'!$J$8),0,IF(OR(AND($F222=$G222,$H222=""),$H222='Auto Responses'!$J$7),1,0)))))</f>
        <v>0</v>
      </c>
      <c r="M222" s="4" t="str">
        <f>VLOOKUP($A222,'Institution Evaluation'!$A$56:$K$345,11,0)&amp;""</f>
        <v>FALSE</v>
      </c>
      <c r="N222" s="4">
        <f>IF($J222='Auto Responses'!$J$11,1,IF(AND($J222="",$I222='Auto Responses'!$J$11),1,0))</f>
        <v>0</v>
      </c>
      <c r="O222" s="105" t="str">
        <f>IF(OR($F$22='Auto Responses'!$J$4,$E222='Auto Responses'!$L$13,$F222='Auto Responses'!$J$5),'Auto Responses'!$J$5,IF($J222="",$K222,IF($J222='Auto Responses'!$J$13,5,IF($J222='Auto Responses'!$J$12,10,IF($J222='Auto Responses'!$J$11,20,0)))))</f>
        <v>N/A</v>
      </c>
      <c r="P222" s="105" t="str">
        <f>IF(OR($O222='Auto Responses'!$J$5,$L222='Auto Responses'!$J$5),'Auto Responses'!$J$5,$O222*$L222)</f>
        <v>N/A</v>
      </c>
      <c r="Q222" s="105">
        <f t="shared" si="21"/>
        <v>0</v>
      </c>
      <c r="R222" s="105">
        <f t="shared" si="26"/>
        <v>0</v>
      </c>
      <c r="S222" s="105">
        <f t="shared" si="22"/>
        <v>0</v>
      </c>
      <c r="T222" s="105">
        <f t="shared" si="23"/>
        <v>0</v>
      </c>
      <c r="U222" s="105">
        <f t="shared" si="27"/>
        <v>62</v>
      </c>
      <c r="V222" s="105">
        <f t="shared" si="24"/>
        <v>0</v>
      </c>
    </row>
    <row r="223" spans="1:22" ht="56" x14ac:dyDescent="0.3">
      <c r="A223" s="4" t="str">
        <f>Questions!$A223</f>
        <v>PCID-08</v>
      </c>
      <c r="B223" s="4" t="str">
        <f t="shared" si="25"/>
        <v>PCID</v>
      </c>
      <c r="C223" s="4" t="str">
        <f>VLOOKUP($A223,Questions!$A$3:$L$333,2,0)&amp;""</f>
        <v>Are you classified as a merchant? If so, what level (1, 2, 3, 4)?</v>
      </c>
      <c r="D223" s="4" t="str">
        <f>VLOOKUP($A223,Questions!$A$3:$L$333,11,0)&amp;""</f>
        <v/>
      </c>
      <c r="E223" s="4" t="str">
        <f>VLOOKUP($A223,Questions!$A$3:$L$333,12,0)&amp;""</f>
        <v>Case-Specific</v>
      </c>
      <c r="F223" s="4" t="str">
        <f>VLOOKUP($A223,'Institution Evaluation'!$A$56:$K$345,3,0)&amp;""</f>
        <v/>
      </c>
      <c r="G223" s="4" t="str">
        <f>VLOOKUP($A223,'Institution Evaluation'!$A$56:$K$345,7,0)&amp;""</f>
        <v>Yes</v>
      </c>
      <c r="H223" s="4" t="str">
        <f>VLOOKUP($A223,'Institution Evaluation'!$A$56:$K$345,8,0)&amp;""</f>
        <v/>
      </c>
      <c r="I223" s="4" t="str">
        <f>VLOOKUP($A223,'Institution Evaluation'!$A$56:$K$345,9,0)&amp;""</f>
        <v>Standard Importance</v>
      </c>
      <c r="J223" s="4" t="str">
        <f>VLOOKUP($A223,'Institution Evaluation'!$A$56:$K$345,10,0)&amp;""</f>
        <v/>
      </c>
      <c r="K223" s="4">
        <f>IF($I223='Auto Responses'!$J$11,20,IF($I223='Auto Responses'!$J$13,5,10))</f>
        <v>10</v>
      </c>
      <c r="L223" s="105">
        <f>IF($E223='Auto Responses'!$L$13, 'Auto Responses'!$J$5,IF(AND($D223='Auto Responses'!$J$27,$H223=""),'Auto Responses'!$J$5,IF(AND($D223='Auto Responses'!$J$27,$H223='Auto Responses'!$J$7),1,IF(AND($D223='Auto Responses'!$J$27,$H223='Auto Responses'!$J$8),0,IF(OR(AND($F223=$G223,$H223=""),$H223='Auto Responses'!$J$7),1,0)))))</f>
        <v>0</v>
      </c>
      <c r="M223" s="4" t="str">
        <f>VLOOKUP($A223,'Institution Evaluation'!$A$56:$K$345,11,0)&amp;""</f>
        <v>FALSE</v>
      </c>
      <c r="N223" s="4">
        <f>IF($J223='Auto Responses'!$J$11,1,IF(AND($J223="",$I223='Auto Responses'!$J$11),1,0))</f>
        <v>0</v>
      </c>
      <c r="O223" s="105" t="str">
        <f>IF(OR($F$22='Auto Responses'!$J$4,$E223='Auto Responses'!$L$13,$F223='Auto Responses'!$J$5),'Auto Responses'!$J$5,IF($J223="",$K223,IF($J223='Auto Responses'!$J$13,5,IF($J223='Auto Responses'!$J$12,10,IF($J223='Auto Responses'!$J$11,20,0)))))</f>
        <v>N/A</v>
      </c>
      <c r="P223" s="105" t="str">
        <f>IF(OR($O223='Auto Responses'!$J$5,$L223='Auto Responses'!$J$5),'Auto Responses'!$J$5,$O223*$L223)</f>
        <v>N/A</v>
      </c>
      <c r="Q223" s="105">
        <f t="shared" si="21"/>
        <v>0</v>
      </c>
      <c r="R223" s="105">
        <f t="shared" si="26"/>
        <v>0</v>
      </c>
      <c r="S223" s="105">
        <f t="shared" si="22"/>
        <v>0</v>
      </c>
      <c r="T223" s="105">
        <f t="shared" si="23"/>
        <v>0</v>
      </c>
      <c r="U223" s="105">
        <f t="shared" si="27"/>
        <v>62</v>
      </c>
      <c r="V223" s="105">
        <f t="shared" si="24"/>
        <v>0</v>
      </c>
    </row>
    <row r="224" spans="1:22" ht="56" x14ac:dyDescent="0.3">
      <c r="A224" s="4" t="str">
        <f>Questions!$A224</f>
        <v>PCID-09</v>
      </c>
      <c r="B224" s="4" t="str">
        <f t="shared" si="25"/>
        <v>PCID</v>
      </c>
      <c r="C224" s="4" t="str">
        <f>VLOOKUP($A224,Questions!$A$3:$L$333,2,0)&amp;""</f>
        <v>Describe the architecture employed by the system to verify and authorize credit card transactions.</v>
      </c>
      <c r="D224" s="4" t="str">
        <f>VLOOKUP($A224,Questions!$A$3:$L$333,11,0)&amp;""</f>
        <v/>
      </c>
      <c r="E224" s="4" t="str">
        <f>VLOOKUP($A224,Questions!$A$3:$L$333,12,0)&amp;""</f>
        <v>Not scored</v>
      </c>
      <c r="F224" s="4" t="str">
        <f>VLOOKUP($A224,'Institution Evaluation'!$A$56:$K$345,3,0)&amp;""</f>
        <v/>
      </c>
      <c r="G224" s="4" t="str">
        <f>VLOOKUP($A224,'Institution Evaluation'!$A$56:$K$345,7,0)&amp;""</f>
        <v>Not scored</v>
      </c>
      <c r="H224" s="4" t="str">
        <f>VLOOKUP($A224,'Institution Evaluation'!$A$56:$K$345,8,0)&amp;""</f>
        <v/>
      </c>
      <c r="I224" s="4" t="str">
        <f>VLOOKUP($A224,'Institution Evaluation'!$A$56:$K$345,9,0)&amp;""</f>
        <v/>
      </c>
      <c r="J224" s="4" t="str">
        <f>VLOOKUP($A224,'Institution Evaluation'!$A$56:$K$345,10,0)&amp;""</f>
        <v/>
      </c>
      <c r="K224" s="4">
        <f>IF($I224='Auto Responses'!$J$11,20,IF($I224='Auto Responses'!$J$13,5,10))</f>
        <v>10</v>
      </c>
      <c r="L224" s="105" t="str">
        <f>IF($E224='Auto Responses'!$L$13, 'Auto Responses'!$J$5,IF(AND($D224='Auto Responses'!$J$27,$H224=""),'Auto Responses'!$J$5,IF(AND($D224='Auto Responses'!$J$27,$H224='Auto Responses'!$J$7),1,IF(AND($D224='Auto Responses'!$J$27,$H224='Auto Responses'!$J$8),0,IF(OR(AND($F224=$G224,$H224=""),$H224='Auto Responses'!$J$7),1,0)))))</f>
        <v>N/A</v>
      </c>
      <c r="M224" s="4" t="str">
        <f>VLOOKUP($A224,'Institution Evaluation'!$A$56:$K$345,11,0)&amp;""</f>
        <v>FALSE</v>
      </c>
      <c r="N224" s="4">
        <f>IF($J224='Auto Responses'!$J$11,1,IF(AND($J224="",$I224='Auto Responses'!$J$11),1,0))</f>
        <v>0</v>
      </c>
      <c r="O224" s="105" t="str">
        <f>IF(OR($F$22='Auto Responses'!$J$4,$E224='Auto Responses'!$L$13,$F224='Auto Responses'!$J$5),'Auto Responses'!$J$5,IF($J224="",$K224,IF($J224='Auto Responses'!$J$13,5,IF($J224='Auto Responses'!$J$12,10,IF($J224='Auto Responses'!$J$11,20,0)))))</f>
        <v>N/A</v>
      </c>
      <c r="P224" s="105" t="str">
        <f>IF(OR($O224='Auto Responses'!$J$5,$L224='Auto Responses'!$J$5),'Auto Responses'!$J$5,$O224*$L224)</f>
        <v>N/A</v>
      </c>
      <c r="Q224" s="105">
        <f t="shared" si="21"/>
        <v>0</v>
      </c>
      <c r="R224" s="105">
        <f t="shared" si="26"/>
        <v>0</v>
      </c>
      <c r="S224" s="105">
        <f t="shared" si="22"/>
        <v>0</v>
      </c>
      <c r="T224" s="105">
        <f t="shared" si="23"/>
        <v>0</v>
      </c>
      <c r="U224" s="105">
        <f t="shared" si="27"/>
        <v>62</v>
      </c>
      <c r="V224" s="105">
        <f t="shared" si="24"/>
        <v>0</v>
      </c>
    </row>
    <row r="225" spans="1:22" ht="56" x14ac:dyDescent="0.3">
      <c r="A225" s="4" t="str">
        <f>Questions!$A225</f>
        <v>PCID-10</v>
      </c>
      <c r="B225" s="4" t="str">
        <f t="shared" si="25"/>
        <v>PCID</v>
      </c>
      <c r="C225" s="4" t="str">
        <f>VLOOKUP($A225,Questions!$A$3:$L$333,2,0)&amp;""</f>
        <v>What payment processors/gateways does the system support?</v>
      </c>
      <c r="D225" s="4" t="str">
        <f>VLOOKUP($A225,Questions!$A$3:$L$333,11,0)&amp;""</f>
        <v/>
      </c>
      <c r="E225" s="4" t="str">
        <f>VLOOKUP($A225,Questions!$A$3:$L$333,12,0)&amp;""</f>
        <v>Not scored</v>
      </c>
      <c r="F225" s="4" t="str">
        <f>VLOOKUP($A225,'Institution Evaluation'!$A$56:$K$345,3,0)&amp;""</f>
        <v/>
      </c>
      <c r="G225" s="4" t="str">
        <f>VLOOKUP($A225,'Institution Evaluation'!$A$56:$K$345,7,0)&amp;""</f>
        <v>Not scored</v>
      </c>
      <c r="H225" s="4" t="str">
        <f>VLOOKUP($A225,'Institution Evaluation'!$A$56:$K$345,8,0)&amp;""</f>
        <v/>
      </c>
      <c r="I225" s="4" t="str">
        <f>VLOOKUP($A225,'Institution Evaluation'!$A$56:$K$345,9,0)&amp;""</f>
        <v/>
      </c>
      <c r="J225" s="4" t="str">
        <f>VLOOKUP($A225,'Institution Evaluation'!$A$56:$K$345,10,0)&amp;""</f>
        <v/>
      </c>
      <c r="K225" s="4">
        <f>IF($I225='Auto Responses'!$J$11,20,IF($I225='Auto Responses'!$J$13,5,10))</f>
        <v>10</v>
      </c>
      <c r="L225" s="105" t="str">
        <f>IF($E225='Auto Responses'!$L$13, 'Auto Responses'!$J$5,IF(AND($D225='Auto Responses'!$J$27,$H225=""),'Auto Responses'!$J$5,IF(AND($D225='Auto Responses'!$J$27,$H225='Auto Responses'!$J$7),1,IF(AND($D225='Auto Responses'!$J$27,$H225='Auto Responses'!$J$8),0,IF(OR(AND($F225=$G225,$H225=""),$H225='Auto Responses'!$J$7),1,0)))))</f>
        <v>N/A</v>
      </c>
      <c r="M225" s="4" t="str">
        <f>VLOOKUP($A225,'Institution Evaluation'!$A$56:$K$345,11,0)&amp;""</f>
        <v>FALSE</v>
      </c>
      <c r="N225" s="4">
        <f>IF($J225='Auto Responses'!$J$11,1,IF(AND($J225="",$I225='Auto Responses'!$J$11),1,0))</f>
        <v>0</v>
      </c>
      <c r="O225" s="105" t="str">
        <f>IF(OR($F$22='Auto Responses'!$J$4,$E225='Auto Responses'!$L$13,$F225='Auto Responses'!$J$5),'Auto Responses'!$J$5,IF($J225="",$K225,IF($J225='Auto Responses'!$J$13,5,IF($J225='Auto Responses'!$J$12,10,IF($J225='Auto Responses'!$J$11,20,0)))))</f>
        <v>N/A</v>
      </c>
      <c r="P225" s="105" t="str">
        <f>IF(OR($O225='Auto Responses'!$J$5,$L225='Auto Responses'!$J$5),'Auto Responses'!$J$5,$O225*$L225)</f>
        <v>N/A</v>
      </c>
      <c r="Q225" s="105">
        <f t="shared" si="21"/>
        <v>0</v>
      </c>
      <c r="R225" s="105">
        <f t="shared" si="26"/>
        <v>0</v>
      </c>
      <c r="S225" s="105">
        <f t="shared" si="22"/>
        <v>0</v>
      </c>
      <c r="T225" s="105">
        <f t="shared" si="23"/>
        <v>0</v>
      </c>
      <c r="U225" s="105">
        <f t="shared" si="27"/>
        <v>62</v>
      </c>
      <c r="V225" s="105">
        <f t="shared" si="24"/>
        <v>0</v>
      </c>
    </row>
    <row r="226" spans="1:22" ht="56" x14ac:dyDescent="0.3">
      <c r="A226" s="4" t="str">
        <f>Questions!$A226</f>
        <v>PCID-11</v>
      </c>
      <c r="B226" s="4" t="str">
        <f t="shared" si="25"/>
        <v>PCID</v>
      </c>
      <c r="C226" s="4" t="str">
        <f>VLOOKUP($A226,Questions!$A$3:$L$333,2,0)&amp;""</f>
        <v>Can the application be installed in a PCI DSS–compliant manner?</v>
      </c>
      <c r="D226" s="4" t="str">
        <f>VLOOKUP($A226,Questions!$A$3:$L$333,11,0)&amp;""</f>
        <v/>
      </c>
      <c r="E226" s="4" t="str">
        <f>VLOOKUP($A226,Questions!$A$3:$L$333,12,0)&amp;""</f>
        <v>Case-Specific</v>
      </c>
      <c r="F226" s="4" t="str">
        <f>VLOOKUP($A226,'Institution Evaluation'!$A$56:$K$345,3,0)&amp;""</f>
        <v/>
      </c>
      <c r="G226" s="4" t="str">
        <f>VLOOKUP($A226,'Institution Evaluation'!$A$56:$K$345,7,0)&amp;""</f>
        <v>Yes</v>
      </c>
      <c r="H226" s="4" t="str">
        <f>VLOOKUP($A226,'Institution Evaluation'!$A$56:$K$345,8,0)&amp;""</f>
        <v/>
      </c>
      <c r="I226" s="4" t="str">
        <f>VLOOKUP($A226,'Institution Evaluation'!$A$56:$K$345,9,0)&amp;""</f>
        <v>Minor Importance</v>
      </c>
      <c r="J226" s="4" t="str">
        <f>VLOOKUP($A226,'Institution Evaluation'!$A$56:$K$345,10,0)&amp;""</f>
        <v/>
      </c>
      <c r="K226" s="4">
        <f>IF($I226='Auto Responses'!$J$11,20,IF($I226='Auto Responses'!$J$13,5,10))</f>
        <v>5</v>
      </c>
      <c r="L226" s="105">
        <f>IF($E226='Auto Responses'!$L$13, 'Auto Responses'!$J$5,IF(AND($D226='Auto Responses'!$J$27,$H226=""),'Auto Responses'!$J$5,IF(AND($D226='Auto Responses'!$J$27,$H226='Auto Responses'!$J$7),1,IF(AND($D226='Auto Responses'!$J$27,$H226='Auto Responses'!$J$8),0,IF(OR(AND($F226=$G226,$H226=""),$H226='Auto Responses'!$J$7),1,0)))))</f>
        <v>0</v>
      </c>
      <c r="M226" s="4" t="str">
        <f>VLOOKUP($A226,'Institution Evaluation'!$A$56:$K$345,11,0)&amp;""</f>
        <v>FALSE</v>
      </c>
      <c r="N226" s="4">
        <f>IF($J226='Auto Responses'!$J$11,1,IF(AND($J226="",$I226='Auto Responses'!$J$11),1,0))</f>
        <v>0</v>
      </c>
      <c r="O226" s="105" t="str">
        <f>IF(OR($F$22='Auto Responses'!$J$4,$E226='Auto Responses'!$L$13,$F226='Auto Responses'!$J$5),'Auto Responses'!$J$5,IF($J226="",$K226,IF($J226='Auto Responses'!$J$13,5,IF($J226='Auto Responses'!$J$12,10,IF($J226='Auto Responses'!$J$11,20,0)))))</f>
        <v>N/A</v>
      </c>
      <c r="P226" s="105" t="str">
        <f>IF(OR($O226='Auto Responses'!$J$5,$L226='Auto Responses'!$J$5),'Auto Responses'!$J$5,$O226*$L226)</f>
        <v>N/A</v>
      </c>
      <c r="Q226" s="105">
        <f t="shared" si="21"/>
        <v>0</v>
      </c>
      <c r="R226" s="105">
        <f t="shared" si="26"/>
        <v>0</v>
      </c>
      <c r="S226" s="105">
        <f t="shared" si="22"/>
        <v>0</v>
      </c>
      <c r="T226" s="105">
        <f t="shared" si="23"/>
        <v>0</v>
      </c>
      <c r="U226" s="105">
        <f t="shared" si="27"/>
        <v>62</v>
      </c>
      <c r="V226" s="105">
        <f t="shared" si="24"/>
        <v>0</v>
      </c>
    </row>
    <row r="227" spans="1:22" ht="70" x14ac:dyDescent="0.3">
      <c r="A227" s="4" t="str">
        <f>Questions!$A227</f>
        <v>PCID-12</v>
      </c>
      <c r="B227" s="4" t="str">
        <f t="shared" si="25"/>
        <v>PCID</v>
      </c>
      <c r="C227" s="4" t="str">
        <f>VLOOKUP($A227,Questions!$A$3:$L$333,2,0)&amp;""</f>
        <v>Include documentation describing the system's abilities to comply with the PCI DSS and any features or capabilities of the system that must be added or changed in order to operate in compliance with the standards.</v>
      </c>
      <c r="D227" s="4" t="str">
        <f>VLOOKUP($A227,Questions!$A$3:$L$333,11,0)&amp;""</f>
        <v/>
      </c>
      <c r="E227" s="4" t="str">
        <f>VLOOKUP($A227,Questions!$A$3:$L$333,12,0)&amp;""</f>
        <v>Not scored</v>
      </c>
      <c r="F227" s="4" t="str">
        <f>VLOOKUP($A227,'Institution Evaluation'!$A$56:$K$345,3,0)&amp;""</f>
        <v/>
      </c>
      <c r="G227" s="4" t="str">
        <f>VLOOKUP($A227,'Institution Evaluation'!$A$56:$K$345,7,0)&amp;""</f>
        <v>Not scored</v>
      </c>
      <c r="H227" s="4" t="str">
        <f>VLOOKUP($A227,'Institution Evaluation'!$A$56:$K$345,8,0)&amp;""</f>
        <v/>
      </c>
      <c r="I227" s="4" t="str">
        <f>VLOOKUP($A227,'Institution Evaluation'!$A$56:$K$345,9,0)&amp;""</f>
        <v/>
      </c>
      <c r="J227" s="4" t="str">
        <f>VLOOKUP($A227,'Institution Evaluation'!$A$56:$K$345,10,0)&amp;""</f>
        <v/>
      </c>
      <c r="K227" s="4">
        <f>IF($I227='Auto Responses'!$J$11,20,IF($I227='Auto Responses'!$J$13,5,10))</f>
        <v>10</v>
      </c>
      <c r="L227" s="105" t="str">
        <f>IF($E227='Auto Responses'!$L$13, 'Auto Responses'!$J$5,IF(AND($D227='Auto Responses'!$J$27,$H227=""),'Auto Responses'!$J$5,IF(AND($D227='Auto Responses'!$J$27,$H227='Auto Responses'!$J$7),1,IF(AND($D227='Auto Responses'!$J$27,$H227='Auto Responses'!$J$8),0,IF(OR(AND($F227=$G227,$H227=""),$H227='Auto Responses'!$J$7),1,0)))))</f>
        <v>N/A</v>
      </c>
      <c r="M227" s="4" t="str">
        <f>VLOOKUP($A227,'Institution Evaluation'!$A$56:$K$345,11,0)&amp;""</f>
        <v>FALSE</v>
      </c>
      <c r="N227" s="4">
        <f>IF($J227='Auto Responses'!$J$11,1,IF(AND($J227="",$I227='Auto Responses'!$J$11),1,0))</f>
        <v>0</v>
      </c>
      <c r="O227" s="105" t="str">
        <f>IF(OR($F$22='Auto Responses'!$J$4,$E227='Auto Responses'!$L$13,$F227='Auto Responses'!$J$5),'Auto Responses'!$J$5,IF($J227="",$K227,IF($J227='Auto Responses'!$J$13,5,IF($J227='Auto Responses'!$J$12,10,IF($J227='Auto Responses'!$J$11,20,0)))))</f>
        <v>N/A</v>
      </c>
      <c r="P227" s="105" t="str">
        <f>IF(OR($O227='Auto Responses'!$J$5,$L227='Auto Responses'!$J$5),'Auto Responses'!$J$5,$O227*$L227)</f>
        <v>N/A</v>
      </c>
      <c r="Q227" s="105">
        <f t="shared" si="21"/>
        <v>0</v>
      </c>
      <c r="R227" s="105">
        <f t="shared" si="26"/>
        <v>0</v>
      </c>
      <c r="S227" s="105">
        <f t="shared" si="22"/>
        <v>0</v>
      </c>
      <c r="T227" s="105">
        <f t="shared" si="23"/>
        <v>0</v>
      </c>
      <c r="U227" s="105">
        <f t="shared" si="27"/>
        <v>62</v>
      </c>
      <c r="V227" s="105">
        <f t="shared" si="24"/>
        <v>0</v>
      </c>
    </row>
    <row r="228" spans="1:22" ht="56" x14ac:dyDescent="0.3">
      <c r="A228" s="4" t="str">
        <f>Questions!$A228</f>
        <v>OPEM-01</v>
      </c>
      <c r="B228" s="4" t="str">
        <f t="shared" si="25"/>
        <v>OPEM</v>
      </c>
      <c r="C228" s="4" t="str">
        <f>VLOOKUP($A228,Questions!$A$3:$L$333,2,0)&amp;""</f>
        <v>Do you support role-based access control (RBAC) for system administrators?</v>
      </c>
      <c r="D228" s="4" t="str">
        <f>VLOOKUP($A228,Questions!$A$3:$L$333,11,0)&amp;""</f>
        <v/>
      </c>
      <c r="E228" s="4" t="str">
        <f>VLOOKUP($A228,Questions!$A$3:$L$333,12,0)&amp;""</f>
        <v>Case-Specific</v>
      </c>
      <c r="F228" s="4" t="str">
        <f>VLOOKUP($A228,'Institution Evaluation'!$A$56:$K$345,3,0)&amp;""</f>
        <v/>
      </c>
      <c r="G228" s="4" t="str">
        <f>VLOOKUP($A228,'Institution Evaluation'!$A$56:$K$345,7,0)&amp;""</f>
        <v>Yes</v>
      </c>
      <c r="H228" s="4" t="str">
        <f>VLOOKUP($A228,'Institution Evaluation'!$A$56:$K$345,8,0)&amp;""</f>
        <v/>
      </c>
      <c r="I228" s="4" t="str">
        <f>VLOOKUP($A228,'Institution Evaluation'!$A$56:$K$345,9,0)&amp;""</f>
        <v>Standard Importance</v>
      </c>
      <c r="J228" s="4" t="str">
        <f>VLOOKUP($A228,'Institution Evaluation'!$A$56:$K$345,10,0)&amp;""</f>
        <v/>
      </c>
      <c r="K228" s="4">
        <f>IF($I228='Auto Responses'!$J$11,20,IF($I228='Auto Responses'!$J$13,5,10))</f>
        <v>10</v>
      </c>
      <c r="L228" s="105">
        <f>IF($E228='Auto Responses'!$L$13, 'Auto Responses'!$J$5,IF(AND($D228='Auto Responses'!$J$27,$H228=""),'Auto Responses'!$J$5,IF(AND($D228='Auto Responses'!$J$27,$H228='Auto Responses'!$J$7),1,IF(AND($D228='Auto Responses'!$J$27,$H228='Auto Responses'!$J$8),0,IF(OR(AND($F228=$G228,$H228=""),$H228='Auto Responses'!$J$7),1,0)))))</f>
        <v>0</v>
      </c>
      <c r="M228" s="4" t="str">
        <f>VLOOKUP($A228,'Institution Evaluation'!$A$56:$K$345,11,0)&amp;""</f>
        <v>FALSE</v>
      </c>
      <c r="N228" s="4">
        <f>IF($J228='Auto Responses'!$J$11,1,IF(AND($J228="",$I228='Auto Responses'!$J$11),1,0))</f>
        <v>0</v>
      </c>
      <c r="O228" s="105" t="str">
        <f>IF(OR($F$23='Auto Responses'!$J$4,$E228='Auto Responses'!$L$13,$F228='Auto Responses'!$J$5),'Auto Responses'!$J$5,IF($J228="",$K228,IF($J228='Auto Responses'!$J$13,5,IF($J228='Auto Responses'!$J$12,10,IF($J228='Auto Responses'!$J$11,20,0)))))</f>
        <v>N/A</v>
      </c>
      <c r="P228" s="105" t="str">
        <f>IF(OR($O228='Auto Responses'!$J$5,$L228='Auto Responses'!$J$5),'Auto Responses'!$J$5,$O228*$L228)</f>
        <v>N/A</v>
      </c>
      <c r="Q228" s="105">
        <f t="shared" si="21"/>
        <v>0</v>
      </c>
      <c r="R228" s="105">
        <f t="shared" si="26"/>
        <v>0</v>
      </c>
      <c r="S228" s="105">
        <f t="shared" si="22"/>
        <v>0</v>
      </c>
      <c r="T228" s="105">
        <f t="shared" si="23"/>
        <v>0</v>
      </c>
      <c r="U228" s="105">
        <f t="shared" si="27"/>
        <v>62</v>
      </c>
      <c r="V228" s="105">
        <f t="shared" si="24"/>
        <v>0</v>
      </c>
    </row>
    <row r="229" spans="1:22" ht="56" x14ac:dyDescent="0.3">
      <c r="A229" s="4" t="str">
        <f>Questions!$A229</f>
        <v>OPEM-02</v>
      </c>
      <c r="B229" s="4" t="str">
        <f t="shared" si="25"/>
        <v>OPEM</v>
      </c>
      <c r="C229" s="4" t="str">
        <f>VLOOKUP($A229,Questions!$A$3:$L$333,2,0)&amp;""</f>
        <v>Can your employees access customer systems remotely?</v>
      </c>
      <c r="D229" s="4" t="str">
        <f>VLOOKUP($A229,Questions!$A$3:$L$333,11,0)&amp;""</f>
        <v/>
      </c>
      <c r="E229" s="4" t="str">
        <f>VLOOKUP($A229,Questions!$A$3:$L$333,12,0)&amp;""</f>
        <v>Case-Specific</v>
      </c>
      <c r="F229" s="4" t="str">
        <f>VLOOKUP($A229,'Institution Evaluation'!$A$56:$K$345,3,0)&amp;""</f>
        <v/>
      </c>
      <c r="G229" s="4" t="str">
        <f>VLOOKUP($A229,'Institution Evaluation'!$A$56:$K$345,7,0)&amp;""</f>
        <v>No</v>
      </c>
      <c r="H229" s="4" t="str">
        <f>VLOOKUP($A229,'Institution Evaluation'!$A$56:$K$345,8,0)&amp;""</f>
        <v/>
      </c>
      <c r="I229" s="4" t="str">
        <f>VLOOKUP($A229,'Institution Evaluation'!$A$56:$K$345,9,0)&amp;""</f>
        <v>Standard Importance</v>
      </c>
      <c r="J229" s="4" t="str">
        <f>VLOOKUP($A229,'Institution Evaluation'!$A$56:$K$345,10,0)&amp;""</f>
        <v/>
      </c>
      <c r="K229" s="4">
        <f>IF($I229='Auto Responses'!$J$11,20,IF($I229='Auto Responses'!$J$13,5,10))</f>
        <v>10</v>
      </c>
      <c r="L229" s="105">
        <f>IF($E229='Auto Responses'!$L$13, 'Auto Responses'!$J$5,IF(AND($D229='Auto Responses'!$J$27,$H229=""),'Auto Responses'!$J$5,IF(AND($D229='Auto Responses'!$J$27,$H229='Auto Responses'!$J$7),1,IF(AND($D229='Auto Responses'!$J$27,$H229='Auto Responses'!$J$8),0,IF(OR(AND($F229=$G229,$H229=""),$H229='Auto Responses'!$J$7),1,0)))))</f>
        <v>0</v>
      </c>
      <c r="M229" s="4" t="str">
        <f>VLOOKUP($A229,'Institution Evaluation'!$A$56:$K$345,11,0)&amp;""</f>
        <v>FALSE</v>
      </c>
      <c r="N229" s="4">
        <f>IF($J229='Auto Responses'!$J$11,1,IF(AND($J229="",$I229='Auto Responses'!$J$11),1,0))</f>
        <v>0</v>
      </c>
      <c r="O229" s="105" t="str">
        <f>IF(OR($F$23='Auto Responses'!$J$4,$E229='Auto Responses'!$L$13,$F229='Auto Responses'!$J$5),'Auto Responses'!$J$5,IF($J229="",$K229,IF($J229='Auto Responses'!$J$13,5,IF($J229='Auto Responses'!$J$12,10,IF($J229='Auto Responses'!$J$11,20,0)))))</f>
        <v>N/A</v>
      </c>
      <c r="P229" s="105" t="str">
        <f>IF(OR($O229='Auto Responses'!$J$5,$L229='Auto Responses'!$J$5),'Auto Responses'!$J$5,$O229*$L229)</f>
        <v>N/A</v>
      </c>
      <c r="Q229" s="105">
        <f t="shared" si="21"/>
        <v>0</v>
      </c>
      <c r="R229" s="105">
        <f t="shared" si="26"/>
        <v>0</v>
      </c>
      <c r="S229" s="105">
        <f t="shared" si="22"/>
        <v>0</v>
      </c>
      <c r="T229" s="105">
        <f t="shared" si="23"/>
        <v>0</v>
      </c>
      <c r="U229" s="105">
        <f t="shared" si="27"/>
        <v>62</v>
      </c>
      <c r="V229" s="105">
        <f t="shared" si="24"/>
        <v>0</v>
      </c>
    </row>
    <row r="230" spans="1:22" ht="56" x14ac:dyDescent="0.3">
      <c r="A230" s="4" t="str">
        <f>Questions!$A230</f>
        <v>OPEM-03</v>
      </c>
      <c r="B230" s="4" t="str">
        <f t="shared" si="25"/>
        <v>OPEM</v>
      </c>
      <c r="C230" s="4" t="str">
        <f>VLOOKUP($A230,Questions!$A$3:$L$333,2,0)&amp;""</f>
        <v>Can you provide overall system and/or application architecture diagrams including a full description of the data communications architecture for all components of the system?</v>
      </c>
      <c r="D230" s="4" t="str">
        <f>VLOOKUP($A230,Questions!$A$3:$L$333,11,0)&amp;""</f>
        <v/>
      </c>
      <c r="E230" s="4" t="str">
        <f>VLOOKUP($A230,Questions!$A$3:$L$333,12,0)&amp;""</f>
        <v>Case-Specific</v>
      </c>
      <c r="F230" s="4" t="str">
        <f>VLOOKUP($A230,'Institution Evaluation'!$A$56:$K$345,3,0)&amp;""</f>
        <v/>
      </c>
      <c r="G230" s="4" t="str">
        <f>VLOOKUP($A230,'Institution Evaluation'!$A$56:$K$345,7,0)&amp;""</f>
        <v>Yes</v>
      </c>
      <c r="H230" s="4" t="str">
        <f>VLOOKUP($A230,'Institution Evaluation'!$A$56:$K$345,8,0)&amp;""</f>
        <v/>
      </c>
      <c r="I230" s="4" t="str">
        <f>VLOOKUP($A230,'Institution Evaluation'!$A$56:$K$345,9,0)&amp;""</f>
        <v>Standard Importance</v>
      </c>
      <c r="J230" s="4" t="str">
        <f>VLOOKUP($A230,'Institution Evaluation'!$A$56:$K$345,10,0)&amp;""</f>
        <v/>
      </c>
      <c r="K230" s="4">
        <f>IF($I230='Auto Responses'!$J$11,20,IF($I230='Auto Responses'!$J$13,5,10))</f>
        <v>10</v>
      </c>
      <c r="L230" s="105">
        <f>IF($E230='Auto Responses'!$L$13, 'Auto Responses'!$J$5,IF(AND($D230='Auto Responses'!$J$27,$H230=""),'Auto Responses'!$J$5,IF(AND($D230='Auto Responses'!$J$27,$H230='Auto Responses'!$J$7),1,IF(AND($D230='Auto Responses'!$J$27,$H230='Auto Responses'!$J$8),0,IF(OR(AND($F230=$G230,$H230=""),$H230='Auto Responses'!$J$7),1,0)))))</f>
        <v>0</v>
      </c>
      <c r="M230" s="4" t="str">
        <f>VLOOKUP($A230,'Institution Evaluation'!$A$56:$K$345,11,0)&amp;""</f>
        <v>FALSE</v>
      </c>
      <c r="N230" s="4">
        <f>IF($J230='Auto Responses'!$J$11,1,IF(AND($J230="",$I230='Auto Responses'!$J$11),1,0))</f>
        <v>0</v>
      </c>
      <c r="O230" s="105" t="str">
        <f>IF(OR($F$23='Auto Responses'!$J$4,$E230='Auto Responses'!$L$13,$F230='Auto Responses'!$J$5),'Auto Responses'!$J$5,IF($J230="",$K230,IF($J230='Auto Responses'!$J$13,5,IF($J230='Auto Responses'!$J$12,10,IF($J230='Auto Responses'!$J$11,20,0)))))</f>
        <v>N/A</v>
      </c>
      <c r="P230" s="105" t="str">
        <f>IF(OR($O230='Auto Responses'!$J$5,$L230='Auto Responses'!$J$5),'Auto Responses'!$J$5,$O230*$L230)</f>
        <v>N/A</v>
      </c>
      <c r="Q230" s="105">
        <f t="shared" si="21"/>
        <v>0</v>
      </c>
      <c r="R230" s="105">
        <f t="shared" si="26"/>
        <v>0</v>
      </c>
      <c r="S230" s="105">
        <f t="shared" si="22"/>
        <v>0</v>
      </c>
      <c r="T230" s="105">
        <f t="shared" si="23"/>
        <v>0</v>
      </c>
      <c r="U230" s="105">
        <f t="shared" si="27"/>
        <v>62</v>
      </c>
      <c r="V230" s="105">
        <f t="shared" si="24"/>
        <v>0</v>
      </c>
    </row>
    <row r="231" spans="1:22" ht="56" x14ac:dyDescent="0.3">
      <c r="A231" s="4" t="str">
        <f>Questions!$A231</f>
        <v>OPEM-04</v>
      </c>
      <c r="B231" s="4" t="str">
        <f t="shared" si="25"/>
        <v>OPEM</v>
      </c>
      <c r="C231" s="4" t="str">
        <f>VLOOKUP($A231,Questions!$A$3:$L$333,2,0)&amp;""</f>
        <v>Do you require remote management of the system?</v>
      </c>
      <c r="D231" s="4" t="str">
        <f>VLOOKUP($A231,Questions!$A$3:$L$333,11,0)&amp;""</f>
        <v/>
      </c>
      <c r="E231" s="4" t="str">
        <f>VLOOKUP($A231,Questions!$A$3:$L$333,12,0)&amp;""</f>
        <v>Case-Specific</v>
      </c>
      <c r="F231" s="4" t="str">
        <f>VLOOKUP($A231,'Institution Evaluation'!$A$56:$K$345,3,0)&amp;""</f>
        <v/>
      </c>
      <c r="G231" s="4" t="str">
        <f>VLOOKUP($A231,'Institution Evaluation'!$A$56:$K$345,7,0)&amp;""</f>
        <v>No</v>
      </c>
      <c r="H231" s="4" t="str">
        <f>VLOOKUP($A231,'Institution Evaluation'!$A$56:$K$345,8,0)&amp;""</f>
        <v/>
      </c>
      <c r="I231" s="4" t="str">
        <f>VLOOKUP($A231,'Institution Evaluation'!$A$56:$K$345,9,0)&amp;""</f>
        <v>Standard Importance</v>
      </c>
      <c r="J231" s="4" t="str">
        <f>VLOOKUP($A231,'Institution Evaluation'!$A$56:$K$345,10,0)&amp;""</f>
        <v/>
      </c>
      <c r="K231" s="4">
        <f>IF($I231='Auto Responses'!$J$11,20,IF($I231='Auto Responses'!$J$13,5,10))</f>
        <v>10</v>
      </c>
      <c r="L231" s="105">
        <f>IF($E231='Auto Responses'!$L$13, 'Auto Responses'!$J$5,IF(AND($D231='Auto Responses'!$J$27,$H231=""),'Auto Responses'!$J$5,IF(AND($D231='Auto Responses'!$J$27,$H231='Auto Responses'!$J$7),1,IF(AND($D231='Auto Responses'!$J$27,$H231='Auto Responses'!$J$8),0,IF(OR(AND($F231=$G231,$H231=""),$H231='Auto Responses'!$J$7),1,0)))))</f>
        <v>0</v>
      </c>
      <c r="M231" s="4" t="str">
        <f>VLOOKUP($A231,'Institution Evaluation'!$A$56:$K$345,11,0)&amp;""</f>
        <v>FALSE</v>
      </c>
      <c r="N231" s="4">
        <f>IF($J231='Auto Responses'!$J$11,1,IF(AND($J231="",$I231='Auto Responses'!$J$11),1,0))</f>
        <v>0</v>
      </c>
      <c r="O231" s="105" t="str">
        <f>IF(OR($F$23='Auto Responses'!$J$4,$E231='Auto Responses'!$L$13,$F231='Auto Responses'!$J$5),'Auto Responses'!$J$5,IF($J231="",$K231,IF($J231='Auto Responses'!$J$13,5,IF($J231='Auto Responses'!$J$12,10,IF($J231='Auto Responses'!$J$11,20,0)))))</f>
        <v>N/A</v>
      </c>
      <c r="P231" s="105" t="str">
        <f>IF(OR($O231='Auto Responses'!$J$5,$L231='Auto Responses'!$J$5),'Auto Responses'!$J$5,$O231*$L231)</f>
        <v>N/A</v>
      </c>
      <c r="Q231" s="105">
        <f t="shared" si="21"/>
        <v>0</v>
      </c>
      <c r="R231" s="105">
        <f t="shared" si="26"/>
        <v>0</v>
      </c>
      <c r="S231" s="105">
        <f t="shared" si="22"/>
        <v>0</v>
      </c>
      <c r="T231" s="105">
        <f t="shared" si="23"/>
        <v>0</v>
      </c>
      <c r="U231" s="105">
        <f t="shared" si="27"/>
        <v>62</v>
      </c>
      <c r="V231" s="105">
        <f t="shared" si="24"/>
        <v>0</v>
      </c>
    </row>
    <row r="232" spans="1:22" ht="56" x14ac:dyDescent="0.3">
      <c r="A232" s="4" t="str">
        <f>Questions!$A232</f>
        <v>OPEM-05</v>
      </c>
      <c r="B232" s="4" t="str">
        <f t="shared" si="25"/>
        <v>OPEM</v>
      </c>
      <c r="C232" s="4" t="str">
        <f>VLOOKUP($A232,Questions!$A$3:$L$333,2,0)&amp;""</f>
        <v>If you answered "yes" to OPEM-04, are your remote actions and changes logged or otherwise visible to the campus?</v>
      </c>
      <c r="D232" s="4" t="str">
        <f>VLOOKUP($A232,Questions!$A$3:$L$333,11,0)&amp;""</f>
        <v/>
      </c>
      <c r="E232" s="4" t="str">
        <f>VLOOKUP($A232,Questions!$A$3:$L$333,12,0)&amp;""</f>
        <v>Case-Specific</v>
      </c>
      <c r="F232" s="4" t="str">
        <f>VLOOKUP($A232,'Institution Evaluation'!$A$56:$K$345,3,0)&amp;""</f>
        <v/>
      </c>
      <c r="G232" s="4" t="str">
        <f>VLOOKUP($A232,'Institution Evaluation'!$A$56:$K$345,7,0)&amp;""</f>
        <v>Yes</v>
      </c>
      <c r="H232" s="4" t="str">
        <f>VLOOKUP($A232,'Institution Evaluation'!$A$56:$K$345,8,0)&amp;""</f>
        <v/>
      </c>
      <c r="I232" s="4" t="str">
        <f>VLOOKUP($A232,'Institution Evaluation'!$A$56:$K$345,9,0)&amp;""</f>
        <v>Standard Importance</v>
      </c>
      <c r="J232" s="4" t="str">
        <f>VLOOKUP($A232,'Institution Evaluation'!$A$56:$K$345,10,0)&amp;""</f>
        <v/>
      </c>
      <c r="K232" s="4">
        <f>IF($I232='Auto Responses'!$J$11,20,IF($I232='Auto Responses'!$J$13,5,10))</f>
        <v>10</v>
      </c>
      <c r="L232" s="105">
        <f>IF($E232='Auto Responses'!$L$13, 'Auto Responses'!$J$5,IF(AND($D232='Auto Responses'!$J$27,$H232=""),'Auto Responses'!$J$5,IF(AND($D232='Auto Responses'!$J$27,$H232='Auto Responses'!$J$7),1,IF(AND($D232='Auto Responses'!$J$27,$H232='Auto Responses'!$J$8),0,IF(OR(AND($F232=$G232,$H232=""),$H232='Auto Responses'!$J$7),1,0)))))</f>
        <v>0</v>
      </c>
      <c r="M232" s="4" t="str">
        <f>VLOOKUP($A232,'Institution Evaluation'!$A$56:$K$345,11,0)&amp;""</f>
        <v>FALSE</v>
      </c>
      <c r="N232" s="4">
        <f>IF($J232='Auto Responses'!$J$11,1,IF(AND($J232="",$I232='Auto Responses'!$J$11),1,0))</f>
        <v>0</v>
      </c>
      <c r="O232" s="105" t="str">
        <f>IF(OR($F$23='Auto Responses'!$J$4,$E232='Auto Responses'!$L$13,$F232='Auto Responses'!$J$5),'Auto Responses'!$J$5,IF($J232="",$K232,IF($J232='Auto Responses'!$J$13,5,IF($J232='Auto Responses'!$J$12,10,IF($J232='Auto Responses'!$J$11,20,0)))))</f>
        <v>N/A</v>
      </c>
      <c r="P232" s="105" t="str">
        <f>IF(OR($O232='Auto Responses'!$J$5,$L232='Auto Responses'!$J$5),'Auto Responses'!$J$5,$O232*$L232)</f>
        <v>N/A</v>
      </c>
      <c r="Q232" s="105">
        <f t="shared" si="21"/>
        <v>0</v>
      </c>
      <c r="R232" s="105">
        <f t="shared" si="26"/>
        <v>0</v>
      </c>
      <c r="S232" s="105">
        <f t="shared" si="22"/>
        <v>0</v>
      </c>
      <c r="T232" s="105">
        <f t="shared" si="23"/>
        <v>0</v>
      </c>
      <c r="U232" s="105">
        <f t="shared" si="27"/>
        <v>62</v>
      </c>
      <c r="V232" s="105">
        <f t="shared" si="24"/>
        <v>0</v>
      </c>
    </row>
    <row r="233" spans="1:22" ht="56" x14ac:dyDescent="0.3">
      <c r="A233" s="4" t="str">
        <f>Questions!$A233</f>
        <v>OPEM-06</v>
      </c>
      <c r="B233" s="4" t="str">
        <f t="shared" si="25"/>
        <v>OPEM</v>
      </c>
      <c r="C233" s="4" t="str">
        <f>VLOOKUP($A233,Questions!$A$3:$L$333,2,0)&amp;""</f>
        <v>If you maintain remote access to the system, will you handle data in a FERPA-compliant manner?</v>
      </c>
      <c r="D233" s="4" t="str">
        <f>VLOOKUP($A233,Questions!$A$3:$L$333,11,0)&amp;""</f>
        <v/>
      </c>
      <c r="E233" s="4" t="str">
        <f>VLOOKUP($A233,Questions!$A$3:$L$333,12,0)&amp;""</f>
        <v>Case-Specific</v>
      </c>
      <c r="F233" s="4" t="str">
        <f>VLOOKUP($A233,'Institution Evaluation'!$A$56:$K$345,3,0)&amp;""</f>
        <v/>
      </c>
      <c r="G233" s="4" t="str">
        <f>VLOOKUP($A233,'Institution Evaluation'!$A$56:$K$345,7,0)&amp;""</f>
        <v>Yes</v>
      </c>
      <c r="H233" s="4" t="str">
        <f>VLOOKUP($A233,'Institution Evaluation'!$A$56:$K$345,8,0)&amp;""</f>
        <v/>
      </c>
      <c r="I233" s="4" t="str">
        <f>VLOOKUP($A233,'Institution Evaluation'!$A$56:$K$345,9,0)&amp;""</f>
        <v>Standard Importance</v>
      </c>
      <c r="J233" s="4" t="str">
        <f>VLOOKUP($A233,'Institution Evaluation'!$A$56:$K$345,10,0)&amp;""</f>
        <v/>
      </c>
      <c r="K233" s="4">
        <f>IF($I233='Auto Responses'!$J$11,20,IF($I233='Auto Responses'!$J$13,5,10))</f>
        <v>10</v>
      </c>
      <c r="L233" s="105">
        <f>IF($E233='Auto Responses'!$L$13, 'Auto Responses'!$J$5,IF(AND($D233='Auto Responses'!$J$27,$H233=""),'Auto Responses'!$J$5,IF(AND($D233='Auto Responses'!$J$27,$H233='Auto Responses'!$J$7),1,IF(AND($D233='Auto Responses'!$J$27,$H233='Auto Responses'!$J$8),0,IF(OR(AND($F233=$G233,$H233=""),$H233='Auto Responses'!$J$7),1,0)))))</f>
        <v>0</v>
      </c>
      <c r="M233" s="4" t="str">
        <f>VLOOKUP($A233,'Institution Evaluation'!$A$56:$K$345,11,0)&amp;""</f>
        <v>FALSE</v>
      </c>
      <c r="N233" s="4">
        <f>IF($J233='Auto Responses'!$J$11,1,IF(AND($J233="",$I233='Auto Responses'!$J$11),1,0))</f>
        <v>0</v>
      </c>
      <c r="O233" s="105" t="str">
        <f>IF(OR($F$23='Auto Responses'!$J$4,$E233='Auto Responses'!$L$13,$F233='Auto Responses'!$J$5),'Auto Responses'!$J$5,IF($J233="",$K233,IF($J233='Auto Responses'!$J$13,5,IF($J233='Auto Responses'!$J$12,10,IF($J233='Auto Responses'!$J$11,20,0)))))</f>
        <v>N/A</v>
      </c>
      <c r="P233" s="105" t="str">
        <f>IF(OR($O233='Auto Responses'!$J$5,$L233='Auto Responses'!$J$5),'Auto Responses'!$J$5,$O233*$L233)</f>
        <v>N/A</v>
      </c>
      <c r="Q233" s="105">
        <f t="shared" si="21"/>
        <v>0</v>
      </c>
      <c r="R233" s="105">
        <f t="shared" si="26"/>
        <v>0</v>
      </c>
      <c r="S233" s="105">
        <f t="shared" si="22"/>
        <v>0</v>
      </c>
      <c r="T233" s="105">
        <f t="shared" si="23"/>
        <v>0</v>
      </c>
      <c r="U233" s="105">
        <f t="shared" si="27"/>
        <v>62</v>
      </c>
      <c r="V233" s="105">
        <f t="shared" si="24"/>
        <v>0</v>
      </c>
    </row>
    <row r="234" spans="1:22" ht="56" x14ac:dyDescent="0.3">
      <c r="A234" s="4" t="str">
        <f>Questions!$A234</f>
        <v>OPEM-07</v>
      </c>
      <c r="B234" s="4" t="str">
        <f t="shared" si="25"/>
        <v>OPEM</v>
      </c>
      <c r="C234" s="4" t="str">
        <f>VLOOKUP($A234,Questions!$A$3:$L$333,2,0)&amp;""</f>
        <v>Do you support campus status monitoring through SNMPv3 or other means?</v>
      </c>
      <c r="D234" s="4" t="str">
        <f>VLOOKUP($A234,Questions!$A$3:$L$333,11,0)&amp;""</f>
        <v/>
      </c>
      <c r="E234" s="4" t="str">
        <f>VLOOKUP($A234,Questions!$A$3:$L$333,12,0)&amp;""</f>
        <v>Case-Specific</v>
      </c>
      <c r="F234" s="4" t="str">
        <f>VLOOKUP($A234,'Institution Evaluation'!$A$56:$K$345,3,0)&amp;""</f>
        <v/>
      </c>
      <c r="G234" s="4" t="str">
        <f>VLOOKUP($A234,'Institution Evaluation'!$A$56:$K$345,7,0)&amp;""</f>
        <v>Yes</v>
      </c>
      <c r="H234" s="4" t="str">
        <f>VLOOKUP($A234,'Institution Evaluation'!$A$56:$K$345,8,0)&amp;""</f>
        <v/>
      </c>
      <c r="I234" s="4" t="str">
        <f>VLOOKUP($A234,'Institution Evaluation'!$A$56:$K$345,9,0)&amp;""</f>
        <v>Standard Importance</v>
      </c>
      <c r="J234" s="4" t="str">
        <f>VLOOKUP($A234,'Institution Evaluation'!$A$56:$K$345,10,0)&amp;""</f>
        <v/>
      </c>
      <c r="K234" s="4">
        <f>IF($I234='Auto Responses'!$J$11,20,IF($I234='Auto Responses'!$J$13,5,10))</f>
        <v>10</v>
      </c>
      <c r="L234" s="105">
        <f>IF($E234='Auto Responses'!$L$13, 'Auto Responses'!$J$5,IF(AND($D234='Auto Responses'!$J$27,$H234=""),'Auto Responses'!$J$5,IF(AND($D234='Auto Responses'!$J$27,$H234='Auto Responses'!$J$7),1,IF(AND($D234='Auto Responses'!$J$27,$H234='Auto Responses'!$J$8),0,IF(OR(AND($F234=$G234,$H234=""),$H234='Auto Responses'!$J$7),1,0)))))</f>
        <v>0</v>
      </c>
      <c r="M234" s="4" t="str">
        <f>VLOOKUP($A234,'Institution Evaluation'!$A$56:$K$345,11,0)&amp;""</f>
        <v>FALSE</v>
      </c>
      <c r="N234" s="4">
        <f>IF($J234='Auto Responses'!$J$11,1,IF(AND($J234="",$I234='Auto Responses'!$J$11),1,0))</f>
        <v>0</v>
      </c>
      <c r="O234" s="105" t="str">
        <f>IF(OR($F$23='Auto Responses'!$J$4,$E234='Auto Responses'!$L$13,$F234='Auto Responses'!$J$5),'Auto Responses'!$J$5,IF($J234="",$K234,IF($J234='Auto Responses'!$J$13,5,IF($J234='Auto Responses'!$J$12,10,IF($J234='Auto Responses'!$J$11,20,0)))))</f>
        <v>N/A</v>
      </c>
      <c r="P234" s="105" t="str">
        <f>IF(OR($O234='Auto Responses'!$J$5,$L234='Auto Responses'!$J$5),'Auto Responses'!$J$5,$O234*$L234)</f>
        <v>N/A</v>
      </c>
      <c r="Q234" s="105">
        <f t="shared" si="21"/>
        <v>0</v>
      </c>
      <c r="R234" s="105">
        <f t="shared" si="26"/>
        <v>0</v>
      </c>
      <c r="S234" s="105">
        <f t="shared" si="22"/>
        <v>0</v>
      </c>
      <c r="T234" s="105">
        <f t="shared" si="23"/>
        <v>0</v>
      </c>
      <c r="U234" s="105">
        <f t="shared" si="27"/>
        <v>62</v>
      </c>
      <c r="V234" s="105">
        <f t="shared" si="24"/>
        <v>0</v>
      </c>
    </row>
    <row r="235" spans="1:22" ht="56" x14ac:dyDescent="0.3">
      <c r="A235" s="4" t="str">
        <f>Questions!$A235</f>
        <v>OPEM-08</v>
      </c>
      <c r="B235" s="4" t="str">
        <f t="shared" si="25"/>
        <v>OPEM</v>
      </c>
      <c r="C235" s="4" t="str">
        <f>VLOOKUP($A235,Questions!$A$3:$L$333,2,0)&amp;""</f>
        <v>Describe or provide a reference to any other safeguards used to monitor for malicious activity.</v>
      </c>
      <c r="D235" s="4" t="str">
        <f>VLOOKUP($A235,Questions!$A$3:$L$333,11,0)&amp;""</f>
        <v/>
      </c>
      <c r="E235" s="4" t="str">
        <f>VLOOKUP($A235,Questions!$A$3:$L$333,12,0)&amp;""</f>
        <v>Not scored</v>
      </c>
      <c r="F235" s="4" t="str">
        <f>VLOOKUP($A235,'Institution Evaluation'!$A$56:$K$345,3,0)&amp;""</f>
        <v/>
      </c>
      <c r="G235" s="4" t="str">
        <f>VLOOKUP($A235,'Institution Evaluation'!$A$56:$K$345,7,0)&amp;""</f>
        <v>Not scored</v>
      </c>
      <c r="H235" s="4" t="str">
        <f>VLOOKUP($A235,'Institution Evaluation'!$A$56:$K$345,8,0)&amp;""</f>
        <v/>
      </c>
      <c r="I235" s="4" t="str">
        <f>VLOOKUP($A235,'Institution Evaluation'!$A$56:$K$345,9,0)&amp;""</f>
        <v/>
      </c>
      <c r="J235" s="4" t="str">
        <f>VLOOKUP($A235,'Institution Evaluation'!$A$56:$K$345,10,0)&amp;""</f>
        <v/>
      </c>
      <c r="K235" s="4">
        <f>IF($I235='Auto Responses'!$J$11,20,IF($I235='Auto Responses'!$J$13,5,10))</f>
        <v>10</v>
      </c>
      <c r="L235" s="105" t="str">
        <f>IF($E235='Auto Responses'!$L$13, 'Auto Responses'!$J$5,IF(AND($D235='Auto Responses'!$J$27,$H235=""),'Auto Responses'!$J$5,IF(AND($D235='Auto Responses'!$J$27,$H235='Auto Responses'!$J$7),1,IF(AND($D235='Auto Responses'!$J$27,$H235='Auto Responses'!$J$8),0,IF(OR(AND($F235=$G235,$H235=""),$H235='Auto Responses'!$J$7),1,0)))))</f>
        <v>N/A</v>
      </c>
      <c r="M235" s="4" t="str">
        <f>VLOOKUP($A235,'Institution Evaluation'!$A$56:$K$345,11,0)&amp;""</f>
        <v>FALSE</v>
      </c>
      <c r="N235" s="4">
        <f>IF($J235='Auto Responses'!$J$11,1,IF(AND($J235="",$I235='Auto Responses'!$J$11),1,0))</f>
        <v>0</v>
      </c>
      <c r="O235" s="105" t="str">
        <f>IF(OR($F$23='Auto Responses'!$J$4,$E235='Auto Responses'!$L$13,$F235='Auto Responses'!$J$5),'Auto Responses'!$J$5,IF($J235="",$K235,IF($J235='Auto Responses'!$J$13,5,IF($J235='Auto Responses'!$J$12,10,IF($J235='Auto Responses'!$J$11,20,0)))))</f>
        <v>N/A</v>
      </c>
      <c r="P235" s="105" t="str">
        <f>IF(OR($O235='Auto Responses'!$J$5,$L235='Auto Responses'!$J$5),'Auto Responses'!$J$5,$O235*$L235)</f>
        <v>N/A</v>
      </c>
      <c r="Q235" s="105">
        <f t="shared" si="21"/>
        <v>0</v>
      </c>
      <c r="R235" s="105">
        <f t="shared" si="26"/>
        <v>0</v>
      </c>
      <c r="S235" s="105">
        <f t="shared" si="22"/>
        <v>0</v>
      </c>
      <c r="T235" s="105">
        <f t="shared" si="23"/>
        <v>0</v>
      </c>
      <c r="U235" s="105">
        <f t="shared" si="27"/>
        <v>62</v>
      </c>
      <c r="V235" s="105">
        <f t="shared" si="24"/>
        <v>0</v>
      </c>
    </row>
    <row r="236" spans="1:22" ht="56" x14ac:dyDescent="0.3">
      <c r="A236" s="4" t="str">
        <f>Questions!$A236</f>
        <v>OPEM-09</v>
      </c>
      <c r="B236" s="4" t="str">
        <f t="shared" si="25"/>
        <v>OPEM</v>
      </c>
      <c r="C236" s="4" t="str">
        <f>VLOOKUP($A236,Questions!$A$3:$L$333,2,0)&amp;""</f>
        <v>Describe how long your organization has conducted business in this area.</v>
      </c>
      <c r="D236" s="4" t="str">
        <f>VLOOKUP($A236,Questions!$A$3:$L$333,11,0)&amp;""</f>
        <v/>
      </c>
      <c r="E236" s="4" t="str">
        <f>VLOOKUP($A236,Questions!$A$3:$L$333,12,0)&amp;""</f>
        <v>Not scored</v>
      </c>
      <c r="F236" s="4" t="str">
        <f>VLOOKUP($A236,'Institution Evaluation'!$A$56:$K$345,3,0)&amp;""</f>
        <v/>
      </c>
      <c r="G236" s="4" t="str">
        <f>VLOOKUP($A236,'Institution Evaluation'!$A$56:$K$345,7,0)&amp;""</f>
        <v>Not scored</v>
      </c>
      <c r="H236" s="4" t="str">
        <f>VLOOKUP($A236,'Institution Evaluation'!$A$56:$K$345,8,0)&amp;""</f>
        <v/>
      </c>
      <c r="I236" s="4" t="str">
        <f>VLOOKUP($A236,'Institution Evaluation'!$A$56:$K$345,9,0)&amp;""</f>
        <v/>
      </c>
      <c r="J236" s="4" t="str">
        <f>VLOOKUP($A236,'Institution Evaluation'!$A$56:$K$345,10,0)&amp;""</f>
        <v/>
      </c>
      <c r="K236" s="4">
        <f>IF($I236='Auto Responses'!$J$11,20,IF($I236='Auto Responses'!$J$13,5,10))</f>
        <v>10</v>
      </c>
      <c r="L236" s="105" t="str">
        <f>IF($E236='Auto Responses'!$L$13, 'Auto Responses'!$J$5,IF(AND($D236='Auto Responses'!$J$27,$H236=""),'Auto Responses'!$J$5,IF(AND($D236='Auto Responses'!$J$27,$H236='Auto Responses'!$J$7),1,IF(AND($D236='Auto Responses'!$J$27,$H236='Auto Responses'!$J$8),0,IF(OR(AND($F236=$G236,$H236=""),$H236='Auto Responses'!$J$7),1,0)))))</f>
        <v>N/A</v>
      </c>
      <c r="M236" s="4" t="str">
        <f>VLOOKUP($A236,'Institution Evaluation'!$A$56:$K$345,11,0)&amp;""</f>
        <v>FALSE</v>
      </c>
      <c r="N236" s="4">
        <f>IF($J236='Auto Responses'!$J$11,1,IF(AND($J236="",$I236='Auto Responses'!$J$11),1,0))</f>
        <v>0</v>
      </c>
      <c r="O236" s="105" t="str">
        <f>IF(OR($F$23='Auto Responses'!$J$4,$E236='Auto Responses'!$L$13,$F236='Auto Responses'!$J$5),'Auto Responses'!$J$5,IF($J236="",$K236,IF($J236='Auto Responses'!$J$13,5,IF($J236='Auto Responses'!$J$12,10,IF($J236='Auto Responses'!$J$11,20,0)))))</f>
        <v>N/A</v>
      </c>
      <c r="P236" s="105" t="str">
        <f>IF(OR($O236='Auto Responses'!$J$5,$L236='Auto Responses'!$J$5),'Auto Responses'!$J$5,$O236*$L236)</f>
        <v>N/A</v>
      </c>
      <c r="Q236" s="105">
        <f t="shared" si="21"/>
        <v>0</v>
      </c>
      <c r="R236" s="105">
        <f t="shared" si="26"/>
        <v>0</v>
      </c>
      <c r="S236" s="105">
        <f t="shared" si="22"/>
        <v>0</v>
      </c>
      <c r="T236" s="105">
        <f t="shared" si="23"/>
        <v>0</v>
      </c>
      <c r="U236" s="105">
        <f t="shared" si="27"/>
        <v>62</v>
      </c>
      <c r="V236" s="105">
        <f t="shared" si="24"/>
        <v>0</v>
      </c>
    </row>
    <row r="237" spans="1:22" ht="56" x14ac:dyDescent="0.3">
      <c r="A237" s="4" t="str">
        <f>Questions!$A237</f>
        <v>OPEM-10</v>
      </c>
      <c r="B237" s="4" t="str">
        <f t="shared" si="25"/>
        <v>OPEM</v>
      </c>
      <c r="C237" s="4" t="str">
        <f>VLOOKUP($A237,Questions!$A$3:$L$333,2,0)&amp;""</f>
        <v>Do you have existing higher education customers?</v>
      </c>
      <c r="D237" s="4" t="str">
        <f>VLOOKUP($A237,Questions!$A$3:$L$333,11,0)&amp;""</f>
        <v/>
      </c>
      <c r="E237" s="4" t="str">
        <f>VLOOKUP($A237,Questions!$A$3:$L$333,12,0)&amp;""</f>
        <v>Case-Specific</v>
      </c>
      <c r="F237" s="4" t="str">
        <f>VLOOKUP($A237,'Institution Evaluation'!$A$56:$K$345,3,0)&amp;""</f>
        <v/>
      </c>
      <c r="G237" s="4" t="str">
        <f>VLOOKUP($A237,'Institution Evaluation'!$A$56:$K$345,7,0)&amp;""</f>
        <v>Yes</v>
      </c>
      <c r="H237" s="4" t="str">
        <f>VLOOKUP($A237,'Institution Evaluation'!$A$56:$K$345,8,0)&amp;""</f>
        <v/>
      </c>
      <c r="I237" s="4" t="str">
        <f>VLOOKUP($A237,'Institution Evaluation'!$A$56:$K$345,9,0)&amp;""</f>
        <v>Minor Importance</v>
      </c>
      <c r="J237" s="4" t="str">
        <f>VLOOKUP($A237,'Institution Evaluation'!$A$56:$K$345,10,0)&amp;""</f>
        <v/>
      </c>
      <c r="K237" s="4">
        <f>IF($I237='Auto Responses'!$J$11,20,IF($I237='Auto Responses'!$J$13,5,10))</f>
        <v>5</v>
      </c>
      <c r="L237" s="105">
        <f>IF($E237='Auto Responses'!$L$13, 'Auto Responses'!$J$5,IF(AND($D237='Auto Responses'!$J$27,$H237=""),'Auto Responses'!$J$5,IF(AND($D237='Auto Responses'!$J$27,$H237='Auto Responses'!$J$7),1,IF(AND($D237='Auto Responses'!$J$27,$H237='Auto Responses'!$J$8),0,IF(OR(AND($F237=$G237,$H237=""),$H237='Auto Responses'!$J$7),1,0)))))</f>
        <v>0</v>
      </c>
      <c r="M237" s="4" t="str">
        <f>VLOOKUP($A237,'Institution Evaluation'!$A$56:$K$345,11,0)&amp;""</f>
        <v>FALSE</v>
      </c>
      <c r="N237" s="4">
        <f>IF($J237='Auto Responses'!$J$11,1,IF(AND($J237="",$I237='Auto Responses'!$J$11),1,0))</f>
        <v>0</v>
      </c>
      <c r="O237" s="105" t="str">
        <f>IF(OR($F$23='Auto Responses'!$J$4,$E237='Auto Responses'!$L$13,$F237='Auto Responses'!$J$5),'Auto Responses'!$J$5,IF($J237="",$K237,IF($J237='Auto Responses'!$J$13,5,IF($J237='Auto Responses'!$J$12,10,IF($J237='Auto Responses'!$J$11,20,0)))))</f>
        <v>N/A</v>
      </c>
      <c r="P237" s="105" t="str">
        <f>IF(OR($O237='Auto Responses'!$J$5,$L237='Auto Responses'!$J$5),'Auto Responses'!$J$5,$O237*$L237)</f>
        <v>N/A</v>
      </c>
      <c r="Q237" s="105">
        <f t="shared" ref="Q237" si="28">IF(M237="TRUE",1,0)</f>
        <v>0</v>
      </c>
      <c r="R237" s="105">
        <f t="shared" si="26"/>
        <v>0</v>
      </c>
      <c r="S237" s="105">
        <f t="shared" ref="S237" si="29">IF(Q237=0,0,R237)</f>
        <v>0</v>
      </c>
      <c r="T237" s="105">
        <f t="shared" ref="T237" si="30">IF(N237=1,1,0)</f>
        <v>0</v>
      </c>
      <c r="U237" s="105">
        <f t="shared" si="27"/>
        <v>62</v>
      </c>
      <c r="V237" s="105">
        <f t="shared" ref="V237" si="31">IF(T237=0,0,U237)</f>
        <v>0</v>
      </c>
    </row>
    <row r="238" spans="1:22" ht="56" x14ac:dyDescent="0.3">
      <c r="A238" s="4" t="str">
        <f>Questions!$A238</f>
        <v>PRGN-01</v>
      </c>
      <c r="B238" s="4" t="str">
        <f t="shared" si="25"/>
        <v>PRGN</v>
      </c>
      <c r="C238" s="4" t="str">
        <f>VLOOKUP($A238,Questions!$A$3:$L$333,2,0)&amp;""</f>
        <v>Does your solution process FERPA-related data?</v>
      </c>
      <c r="D238" s="4" t="str">
        <f>VLOOKUP($A238,Questions!$A$3:$L$333,11,0)&amp;""</f>
        <v>NA</v>
      </c>
      <c r="E238" s="4" t="str">
        <f>VLOOKUP($A238,Questions!$A$3:$L$333,12,0)&amp;""</f>
        <v>Not scored</v>
      </c>
      <c r="F238" s="4" t="str">
        <f>VLOOKUP($A238,'Privacy Analyst Evaluation'!$A$46:$K$120,3,0)&amp;""</f>
        <v>Yes</v>
      </c>
      <c r="G238" s="4" t="str">
        <f>VLOOKUP($A238,'Privacy Analyst Evaluation'!$A$46:$K$120,7,0)&amp;""</f>
        <v>Not scored</v>
      </c>
      <c r="H238" s="4" t="str">
        <f>VLOOKUP($A238,'Privacy Analyst Evaluation'!$A$46:$K$120,8,0)&amp;""</f>
        <v/>
      </c>
      <c r="I238" s="4" t="str">
        <f>VLOOKUP($A238,'Privacy Analyst Evaluation'!$A$46:$K$120,9,0)&amp;""</f>
        <v/>
      </c>
      <c r="J238" s="4" t="str">
        <f>VLOOKUP($A238,'Privacy Analyst Evaluation'!$A$46:$K$120,10,0)&amp;""</f>
        <v/>
      </c>
      <c r="K238" s="4">
        <f>IF($I238='Auto Responses'!$J$11,20,IF($I238='Auto Responses'!$J$13,5,10))</f>
        <v>10</v>
      </c>
      <c r="L238" s="105" t="str">
        <f>IF($E238='Auto Responses'!$L$13, 'Auto Responses'!$J$5,IF(AND($D238='Auto Responses'!$J$27,$H238=""),'Auto Responses'!$J$5,IF(AND($D238='Auto Responses'!$J$27,$H238='Auto Responses'!$J$7),1,IF(AND($D238='Auto Responses'!$J$27,$H238='Auto Responses'!$J$8),0,IF(OR(AND($F238=$G238,$H238=""),$H238='Auto Responses'!$J$7),1,0)))))</f>
        <v>N/A</v>
      </c>
      <c r="M238" s="4" t="str">
        <f>VLOOKUP($A238,'Privacy Analyst Evaluation'!$A$46:$K$120,11,0)&amp;""</f>
        <v>FALSE</v>
      </c>
      <c r="N238" s="4">
        <f>IF($J238='Auto Responses'!$J$11,1,IF(AND($J238="",$I238='Auto Responses'!$J$11),1,0))</f>
        <v>0</v>
      </c>
      <c r="O238" s="105" t="str">
        <f>IF(OR($E238='Auto Responses'!$L$13,$F$24='Auto Responses'!$J$4,$F238='Auto Responses'!$J$5),'Auto Responses'!$J$5,IF($J238="",$K238,IF($J238='Auto Responses'!$J$13,5,IF($J238='Auto Responses'!$J$12,10,IF($J238='Auto Responses'!$J$11,20,0)))))</f>
        <v>N/A</v>
      </c>
      <c r="P238" s="105" t="str">
        <f>IF(OR($O238='Auto Responses'!$J$5,$L238='Auto Responses'!$J$5),'Auto Responses'!$J$5,$O238*$L238)</f>
        <v>N/A</v>
      </c>
      <c r="Q238" s="105">
        <f t="shared" si="21"/>
        <v>0</v>
      </c>
      <c r="R238" s="105">
        <f t="shared" si="26"/>
        <v>0</v>
      </c>
      <c r="S238" s="105">
        <f t="shared" si="22"/>
        <v>0</v>
      </c>
      <c r="T238" s="105">
        <f t="shared" si="23"/>
        <v>0</v>
      </c>
      <c r="U238" s="105">
        <f t="shared" si="27"/>
        <v>62</v>
      </c>
      <c r="V238" s="105">
        <f t="shared" si="24"/>
        <v>0</v>
      </c>
    </row>
    <row r="239" spans="1:22" ht="56" x14ac:dyDescent="0.3">
      <c r="A239" s="4" t="str">
        <f>Questions!$A239</f>
        <v>PRGN-02</v>
      </c>
      <c r="B239" s="4" t="str">
        <f t="shared" si="25"/>
        <v>PRGN</v>
      </c>
      <c r="C239" s="4" t="str">
        <f>VLOOKUP($A239,Questions!$A$3:$L$333,2,0)&amp;""</f>
        <v>Does your solution process GDPR-related or PIPL-related data?</v>
      </c>
      <c r="D239" s="4" t="str">
        <f>VLOOKUP($A239,Questions!$A$3:$L$333,11,0)&amp;""</f>
        <v>NA</v>
      </c>
      <c r="E239" s="4" t="str">
        <f>VLOOKUP($A239,Questions!$A$3:$L$333,12,0)&amp;""</f>
        <v>Not scored</v>
      </c>
      <c r="F239" s="4" t="str">
        <f>VLOOKUP($A239,'Privacy Analyst Evaluation'!$A$46:$K$120,3,0)&amp;""</f>
        <v>Yes</v>
      </c>
      <c r="G239" s="4" t="str">
        <f>VLOOKUP($A239,'Privacy Analyst Evaluation'!$A$46:$K$120,7,0)&amp;""</f>
        <v>Not scored</v>
      </c>
      <c r="H239" s="4" t="str">
        <f>VLOOKUP($A239,'Privacy Analyst Evaluation'!$A$46:$K$120,8,0)&amp;""</f>
        <v/>
      </c>
      <c r="I239" s="4" t="str">
        <f>VLOOKUP($A239,'Privacy Analyst Evaluation'!$A$46:$K$120,9,0)&amp;""</f>
        <v/>
      </c>
      <c r="J239" s="4" t="str">
        <f>VLOOKUP($A239,'Privacy Analyst Evaluation'!$A$46:$K$120,10,0)&amp;""</f>
        <v/>
      </c>
      <c r="K239" s="4">
        <f>IF($I239='Auto Responses'!$J$11,20,IF($I239='Auto Responses'!$J$13,5,10))</f>
        <v>10</v>
      </c>
      <c r="L239" s="105" t="str">
        <f>IF($E239='Auto Responses'!$L$13, 'Auto Responses'!$J$5,IF(AND($D239='Auto Responses'!$J$27,$H239=""),'Auto Responses'!$J$5,IF(AND($D239='Auto Responses'!$J$27,$H239='Auto Responses'!$J$7),1,IF(AND($D239='Auto Responses'!$J$27,$H239='Auto Responses'!$J$8),0,IF(OR(AND($F239=$G239,$H239=""),$H239='Auto Responses'!$J$7),1,0)))))</f>
        <v>N/A</v>
      </c>
      <c r="M239" s="4" t="str">
        <f>VLOOKUP($A239,'Privacy Analyst Evaluation'!$A$46:$K$120,11,0)&amp;""</f>
        <v>FALSE</v>
      </c>
      <c r="N239" s="4">
        <f>IF($J239='Auto Responses'!$J$11,1,IF(AND($J239="",$I239='Auto Responses'!$J$11),1,0))</f>
        <v>0</v>
      </c>
      <c r="O239" s="105" t="str">
        <f>IF(OR($E239='Auto Responses'!$L$13,$F$24='Auto Responses'!$J$4,$F239='Auto Responses'!$J$5),'Auto Responses'!$J$5,IF($J239="",$K239,IF($J239='Auto Responses'!$J$13,5,IF($J239='Auto Responses'!$J$12,10,IF($J239='Auto Responses'!$J$11,20,0)))))</f>
        <v>N/A</v>
      </c>
      <c r="P239" s="105" t="str">
        <f>IF(OR($O239='Auto Responses'!$J$5,$L239='Auto Responses'!$J$5),'Auto Responses'!$J$5,$O239*$L239)</f>
        <v>N/A</v>
      </c>
      <c r="Q239" s="105">
        <f t="shared" si="21"/>
        <v>0</v>
      </c>
      <c r="R239" s="105">
        <f t="shared" si="26"/>
        <v>0</v>
      </c>
      <c r="S239" s="105">
        <f t="shared" si="22"/>
        <v>0</v>
      </c>
      <c r="T239" s="105">
        <f t="shared" si="23"/>
        <v>0</v>
      </c>
      <c r="U239" s="105">
        <f t="shared" si="27"/>
        <v>62</v>
      </c>
      <c r="V239" s="105">
        <f t="shared" si="24"/>
        <v>0</v>
      </c>
    </row>
    <row r="240" spans="1:22" ht="56" x14ac:dyDescent="0.3">
      <c r="A240" s="4" t="str">
        <f>Questions!$A240</f>
        <v>PRGN-03</v>
      </c>
      <c r="B240" s="4" t="str">
        <f t="shared" si="25"/>
        <v>PRGN</v>
      </c>
      <c r="C240" s="4" t="str">
        <f>VLOOKUP($A240,Questions!$A$3:$L$333,2,0)&amp;""</f>
        <v>Does your solution process personal data regulated by state law(s) (e.g., CCPA)?</v>
      </c>
      <c r="D240" s="4" t="str">
        <f>VLOOKUP($A240,Questions!$A$3:$L$333,11,0)&amp;""</f>
        <v>NA</v>
      </c>
      <c r="E240" s="4" t="str">
        <f>VLOOKUP($A240,Questions!$A$3:$L$333,12,0)&amp;""</f>
        <v>Not scored</v>
      </c>
      <c r="F240" s="4" t="str">
        <f>VLOOKUP($A240,'Privacy Analyst Evaluation'!$A$46:$K$120,3,0)&amp;""</f>
        <v>Yes</v>
      </c>
      <c r="G240" s="4" t="str">
        <f>VLOOKUP($A240,'Privacy Analyst Evaluation'!$A$46:$K$120,7,0)&amp;""</f>
        <v>Not scored</v>
      </c>
      <c r="H240" s="4" t="str">
        <f>VLOOKUP($A240,'Privacy Analyst Evaluation'!$A$46:$K$120,8,0)&amp;""</f>
        <v/>
      </c>
      <c r="I240" s="4" t="str">
        <f>VLOOKUP($A240,'Privacy Analyst Evaluation'!$A$46:$K$120,9,0)&amp;""</f>
        <v/>
      </c>
      <c r="J240" s="4" t="str">
        <f>VLOOKUP($A240,'Privacy Analyst Evaluation'!$A$46:$K$120,10,0)&amp;""</f>
        <v/>
      </c>
      <c r="K240" s="4">
        <f>IF($I240='Auto Responses'!$J$11,20,IF($I240='Auto Responses'!$J$13,5,10))</f>
        <v>10</v>
      </c>
      <c r="L240" s="105" t="str">
        <f>IF($E240='Auto Responses'!$L$13, 'Auto Responses'!$J$5,IF(AND($D240='Auto Responses'!$J$27,$H240=""),'Auto Responses'!$J$5,IF(AND($D240='Auto Responses'!$J$27,$H240='Auto Responses'!$J$7),1,IF(AND($D240='Auto Responses'!$J$27,$H240='Auto Responses'!$J$8),0,IF(OR(AND($F240=$G240,$H240=""),$H240='Auto Responses'!$J$7),1,0)))))</f>
        <v>N/A</v>
      </c>
      <c r="M240" s="4" t="str">
        <f>VLOOKUP($A240,'Privacy Analyst Evaluation'!$A$46:$K$120,11,0)&amp;""</f>
        <v>FALSE</v>
      </c>
      <c r="N240" s="4">
        <f>IF($J240='Auto Responses'!$J$11,1,IF(AND($J240="",$I240='Auto Responses'!$J$11),1,0))</f>
        <v>0</v>
      </c>
      <c r="O240" s="105" t="str">
        <f>IF(OR($E240='Auto Responses'!$L$13,$F$24='Auto Responses'!$J$4,$F240='Auto Responses'!$J$5),'Auto Responses'!$J$5,IF($J240="",$K240,IF($J240='Auto Responses'!$J$13,5,IF($J240='Auto Responses'!$J$12,10,IF($J240='Auto Responses'!$J$11,20,0)))))</f>
        <v>N/A</v>
      </c>
      <c r="P240" s="105" t="str">
        <f>IF(OR($O240='Auto Responses'!$J$5,$L240='Auto Responses'!$J$5),'Auto Responses'!$J$5,$O240*$L240)</f>
        <v>N/A</v>
      </c>
      <c r="Q240" s="105">
        <f t="shared" si="21"/>
        <v>0</v>
      </c>
      <c r="R240" s="105">
        <f t="shared" si="26"/>
        <v>0</v>
      </c>
      <c r="S240" s="105">
        <f t="shared" si="22"/>
        <v>0</v>
      </c>
      <c r="T240" s="105">
        <f t="shared" si="23"/>
        <v>0</v>
      </c>
      <c r="U240" s="105">
        <f t="shared" si="27"/>
        <v>62</v>
      </c>
      <c r="V240" s="105">
        <f t="shared" si="24"/>
        <v>0</v>
      </c>
    </row>
    <row r="241" spans="1:22" ht="56" x14ac:dyDescent="0.3">
      <c r="A241" s="4" t="str">
        <f>Questions!$A241</f>
        <v>PRGN-04</v>
      </c>
      <c r="B241" s="4" t="str">
        <f t="shared" si="25"/>
        <v>PRGN</v>
      </c>
      <c r="C241" s="4" t="str">
        <f>VLOOKUP($A241,Questions!$A$3:$L$333,2,0)&amp;""</f>
        <v>Does your solution process user-provided data that may contain regulated information?</v>
      </c>
      <c r="D241" s="4" t="str">
        <f>VLOOKUP($A241,Questions!$A$3:$L$333,11,0)&amp;""</f>
        <v>NA</v>
      </c>
      <c r="E241" s="4" t="str">
        <f>VLOOKUP($A241,Questions!$A$3:$L$333,12,0)&amp;""</f>
        <v>Not scored</v>
      </c>
      <c r="F241" s="4" t="str">
        <f>VLOOKUP($A241,'Privacy Analyst Evaluation'!$A$46:$K$120,3,0)&amp;""</f>
        <v>Yes</v>
      </c>
      <c r="G241" s="4" t="str">
        <f>VLOOKUP($A241,'Privacy Analyst Evaluation'!$A$46:$K$120,7,0)&amp;""</f>
        <v>Not scored</v>
      </c>
      <c r="H241" s="4" t="str">
        <f>VLOOKUP($A241,'Privacy Analyst Evaluation'!$A$46:$K$120,8,0)&amp;""</f>
        <v/>
      </c>
      <c r="I241" s="4" t="str">
        <f>VLOOKUP($A241,'Privacy Analyst Evaluation'!$A$46:$K$120,9,0)&amp;""</f>
        <v/>
      </c>
      <c r="J241" s="4" t="str">
        <f>VLOOKUP($A241,'Privacy Analyst Evaluation'!$A$46:$K$120,10,0)&amp;""</f>
        <v/>
      </c>
      <c r="K241" s="4">
        <f>IF($I241='Auto Responses'!$J$11,20,IF($I241='Auto Responses'!$J$13,5,10))</f>
        <v>10</v>
      </c>
      <c r="L241" s="105" t="str">
        <f>IF($E241='Auto Responses'!$L$13, 'Auto Responses'!$J$5,IF(AND($D241='Auto Responses'!$J$27,$H241=""),'Auto Responses'!$J$5,IF(AND($D241='Auto Responses'!$J$27,$H241='Auto Responses'!$J$7),1,IF(AND($D241='Auto Responses'!$J$27,$H241='Auto Responses'!$J$8),0,IF(OR(AND($F241=$G241,$H241=""),$H241='Auto Responses'!$J$7),1,0)))))</f>
        <v>N/A</v>
      </c>
      <c r="M241" s="4" t="str">
        <f>VLOOKUP($A241,'Privacy Analyst Evaluation'!$A$46:$K$120,11,0)&amp;""</f>
        <v>FALSE</v>
      </c>
      <c r="N241" s="4">
        <f>IF($J241='Auto Responses'!$J$11,1,IF(AND($J241="",$I241='Auto Responses'!$J$11),1,0))</f>
        <v>0</v>
      </c>
      <c r="O241" s="105" t="str">
        <f>IF(OR($E241='Auto Responses'!$L$13,$F$24='Auto Responses'!$J$4,$F241='Auto Responses'!$J$5),'Auto Responses'!$J$5,IF($J241="",$K241,IF($J241='Auto Responses'!$J$13,5,IF($J241='Auto Responses'!$J$12,10,IF($J241='Auto Responses'!$J$11,20,0)))))</f>
        <v>N/A</v>
      </c>
      <c r="P241" s="105" t="str">
        <f>IF(OR($O241='Auto Responses'!$J$5,$L241='Auto Responses'!$J$5),'Auto Responses'!$J$5,$O241*$L241)</f>
        <v>N/A</v>
      </c>
      <c r="Q241" s="105">
        <f t="shared" si="21"/>
        <v>0</v>
      </c>
      <c r="R241" s="105">
        <f t="shared" si="26"/>
        <v>0</v>
      </c>
      <c r="S241" s="105">
        <f t="shared" si="22"/>
        <v>0</v>
      </c>
      <c r="T241" s="105">
        <f t="shared" si="23"/>
        <v>0</v>
      </c>
      <c r="U241" s="105">
        <f t="shared" si="27"/>
        <v>62</v>
      </c>
      <c r="V241" s="105">
        <f t="shared" si="24"/>
        <v>0</v>
      </c>
    </row>
    <row r="242" spans="1:22" ht="56" x14ac:dyDescent="0.3">
      <c r="A242" s="4" t="str">
        <f>Questions!$A242</f>
        <v>PRGN-05</v>
      </c>
      <c r="B242" s="4" t="str">
        <f t="shared" si="25"/>
        <v>PRGN</v>
      </c>
      <c r="C242" s="4" t="str">
        <f>VLOOKUP($A242,Questions!$A$3:$L$333,2,0)&amp;""</f>
        <v>Web Link to Product/Service Privacy Notice</v>
      </c>
      <c r="D242" s="4" t="str">
        <f>VLOOKUP($A242,Questions!$A$3:$L$333,11,0)&amp;""</f>
        <v/>
      </c>
      <c r="E242" s="4" t="str">
        <f>VLOOKUP($A242,Questions!$A$3:$L$333,12,0)&amp;""</f>
        <v>Not scored</v>
      </c>
      <c r="F242" s="4" t="str">
        <f>VLOOKUP($A242,'Privacy Analyst Evaluation'!$A$46:$K$120,3,0)&amp;""</f>
        <v/>
      </c>
      <c r="G242" s="4" t="str">
        <f>VLOOKUP($A242,'Privacy Analyst Evaluation'!$A$46:$K$120,7,0)&amp;""</f>
        <v>Not scored</v>
      </c>
      <c r="H242" s="4" t="str">
        <f>VLOOKUP($A242,'Privacy Analyst Evaluation'!$A$46:$K$120,8,0)&amp;""</f>
        <v/>
      </c>
      <c r="I242" s="4" t="str">
        <f>VLOOKUP($A242,'Privacy Analyst Evaluation'!$A$46:$K$120,9,0)&amp;""</f>
        <v/>
      </c>
      <c r="J242" s="4" t="str">
        <f>VLOOKUP($A242,'Privacy Analyst Evaluation'!$A$46:$K$120,10,0)&amp;""</f>
        <v/>
      </c>
      <c r="K242" s="4">
        <f>IF($I242='Auto Responses'!$J$11,20,IF($I242='Auto Responses'!$J$13,5,10))</f>
        <v>10</v>
      </c>
      <c r="L242" s="105" t="str">
        <f>IF($E242='Auto Responses'!$L$13, 'Auto Responses'!$J$5,IF(AND($D242='Auto Responses'!$J$27,$H242=""),'Auto Responses'!$J$5,IF(AND($D242='Auto Responses'!$J$27,$H242='Auto Responses'!$J$7),1,IF(AND($D242='Auto Responses'!$J$27,$H242='Auto Responses'!$J$8),0,IF(OR(AND($F242=$G242,$H242=""),$H242='Auto Responses'!$J$7),1,0)))))</f>
        <v>N/A</v>
      </c>
      <c r="M242" s="4" t="str">
        <f>VLOOKUP($A242,'Privacy Analyst Evaluation'!$A$46:$K$120,11,0)&amp;""</f>
        <v>FALSE</v>
      </c>
      <c r="N242" s="4">
        <f>IF($J242='Auto Responses'!$J$11,1,IF(AND($J242="",$I242='Auto Responses'!$J$11),1,0))</f>
        <v>0</v>
      </c>
      <c r="O242" s="105" t="str">
        <f>IF(OR($E242='Auto Responses'!$L$13,$F$24='Auto Responses'!$J$4,$F242='Auto Responses'!$J$5),'Auto Responses'!$J$5,IF($J242="",$K242,IF($J242='Auto Responses'!$J$13,5,IF($J242='Auto Responses'!$J$12,10,IF($J242='Auto Responses'!$J$11,20,0)))))</f>
        <v>N/A</v>
      </c>
      <c r="P242" s="105" t="str">
        <f>IF(OR($O242='Auto Responses'!$J$5,$L242='Auto Responses'!$J$5),'Auto Responses'!$J$5,$O242*$L242)</f>
        <v>N/A</v>
      </c>
      <c r="Q242" s="105">
        <f t="shared" si="21"/>
        <v>0</v>
      </c>
      <c r="R242" s="105">
        <f t="shared" si="26"/>
        <v>0</v>
      </c>
      <c r="S242" s="105">
        <f t="shared" si="22"/>
        <v>0</v>
      </c>
      <c r="T242" s="105">
        <f t="shared" si="23"/>
        <v>0</v>
      </c>
      <c r="U242" s="105">
        <f t="shared" si="27"/>
        <v>62</v>
      </c>
      <c r="V242" s="105">
        <f t="shared" si="24"/>
        <v>0</v>
      </c>
    </row>
    <row r="243" spans="1:22" ht="70" x14ac:dyDescent="0.3">
      <c r="A243" s="4" t="str">
        <f>Questions!$A243</f>
        <v>PCOM-01</v>
      </c>
      <c r="B243" s="4" t="str">
        <f t="shared" si="25"/>
        <v>PCOM</v>
      </c>
      <c r="C243" s="4" t="str">
        <f>VLOOKUP($A243,Questions!$A$3:$L$333,2,0)&amp;""</f>
        <v>Have you had a personal data breach in the past three years that involved reporting to a governmental agency, notice to individuals (including voluntary notice), or notice to another organization or institution?*</v>
      </c>
      <c r="D243" s="4" t="str">
        <f>VLOOKUP($A243,Questions!$A$3:$L$333,11,0)&amp;""</f>
        <v/>
      </c>
      <c r="E243" s="4" t="str">
        <f>VLOOKUP($A243,Questions!$A$3:$L$333,12,0)&amp;""</f>
        <v>Privacy</v>
      </c>
      <c r="F243" s="4" t="str">
        <f>VLOOKUP($A243,'Privacy Analyst Evaluation'!$A$46:$K$120,3,0)&amp;""</f>
        <v>No</v>
      </c>
      <c r="G243" s="4" t="str">
        <f>VLOOKUP($A243,'Privacy Analyst Evaluation'!$A$46:$K$120,7,0)&amp;""</f>
        <v>No</v>
      </c>
      <c r="H243" s="4" t="str">
        <f>VLOOKUP($A243,'Privacy Analyst Evaluation'!$A$46:$K$120,8,0)&amp;""</f>
        <v/>
      </c>
      <c r="I243" s="4" t="str">
        <f>VLOOKUP($A243,'Privacy Analyst Evaluation'!$A$46:$K$120,9,0)&amp;""</f>
        <v>Critical Importance</v>
      </c>
      <c r="J243" s="4" t="str">
        <f>VLOOKUP($A243,'Privacy Analyst Evaluation'!$A$46:$K$120,10,0)&amp;""</f>
        <v/>
      </c>
      <c r="K243" s="4">
        <f>IF($I243='Auto Responses'!$J$11,20,IF($I243='Auto Responses'!$J$13,5,10))</f>
        <v>20</v>
      </c>
      <c r="L243" s="105">
        <f>IF($E243='Auto Responses'!$L$13, 'Auto Responses'!$J$5,IF(AND($D243='Auto Responses'!$J$27,$H243=""),'Auto Responses'!$J$5,IF(AND($D243='Auto Responses'!$J$27,$H243='Auto Responses'!$J$7),1,IF(AND($D243='Auto Responses'!$J$27,$H243='Auto Responses'!$J$8),0,IF(OR(AND($F243=$G243,$H243=""),$H243='Auto Responses'!$J$7),1,0)))))</f>
        <v>1</v>
      </c>
      <c r="M243" s="4" t="str">
        <f>VLOOKUP($A243,'Privacy Analyst Evaluation'!$A$46:$K$120,11,0)&amp;""</f>
        <v>FALSE</v>
      </c>
      <c r="N243" s="4">
        <f>IF($J243='Auto Responses'!$J$11,1,IF(AND($J243="",$I243='Auto Responses'!$J$11),1,0))</f>
        <v>1</v>
      </c>
      <c r="O243" s="105">
        <f>IF(OR($E243='Auto Responses'!$L$13,$F$24='Auto Responses'!$J$4,$F243='Auto Responses'!$J$5),'Auto Responses'!$J$5,IF($J243="",$K243,IF($J243='Auto Responses'!$J$13,5,IF($J243='Auto Responses'!$J$12,10,IF($J243='Auto Responses'!$J$11,20,0)))))</f>
        <v>20</v>
      </c>
      <c r="P243" s="105">
        <f>IF(OR($O243='Auto Responses'!$J$5,$L243='Auto Responses'!$J$5),'Auto Responses'!$J$5,$O243*$L243)</f>
        <v>20</v>
      </c>
      <c r="Q243" s="105">
        <f t="shared" si="21"/>
        <v>0</v>
      </c>
      <c r="R243" s="105">
        <f t="shared" si="26"/>
        <v>0</v>
      </c>
      <c r="S243" s="105">
        <f t="shared" si="22"/>
        <v>0</v>
      </c>
      <c r="T243" s="105">
        <f t="shared" si="23"/>
        <v>1</v>
      </c>
      <c r="U243" s="105">
        <f t="shared" si="27"/>
        <v>63</v>
      </c>
      <c r="V243" s="105">
        <f t="shared" si="24"/>
        <v>63</v>
      </c>
    </row>
    <row r="244" spans="1:22" ht="56" x14ac:dyDescent="0.3">
      <c r="A244" s="4" t="str">
        <f>Questions!$A244</f>
        <v>PCOM-02</v>
      </c>
      <c r="B244" s="4" t="str">
        <f t="shared" si="25"/>
        <v>PCOM</v>
      </c>
      <c r="C244" s="4" t="str">
        <f>VLOOKUP($A244,Questions!$A$3:$L$333,2,0)&amp;""</f>
        <v>Use this area to share information about your privacy practices that will assist those who are assessing your company data privacy program.*</v>
      </c>
      <c r="D244" s="4" t="str">
        <f>VLOOKUP($A244,Questions!$A$3:$L$333,11,0)&amp;""</f>
        <v/>
      </c>
      <c r="E244" s="4" t="str">
        <f>VLOOKUP($A244,Questions!$A$3:$L$333,12,0)&amp;""</f>
        <v>Not scored</v>
      </c>
      <c r="F244" s="4" t="str">
        <f>VLOOKUP($A244,'Privacy Analyst Evaluation'!$A$46:$K$120,3,0)&amp;""</f>
        <v/>
      </c>
      <c r="G244" s="4" t="str">
        <f>VLOOKUP($A244,'Privacy Analyst Evaluation'!$A$46:$K$120,7,0)&amp;""</f>
        <v>Not scored</v>
      </c>
      <c r="H244" s="4" t="str">
        <f>VLOOKUP($A244,'Privacy Analyst Evaluation'!$A$46:$K$120,8,0)&amp;""</f>
        <v/>
      </c>
      <c r="I244" s="4" t="str">
        <f>VLOOKUP($A244,'Privacy Analyst Evaluation'!$A$46:$K$120,9,0)&amp;""</f>
        <v/>
      </c>
      <c r="J244" s="4" t="str">
        <f>VLOOKUP($A244,'Privacy Analyst Evaluation'!$A$46:$K$120,10,0)&amp;""</f>
        <v/>
      </c>
      <c r="K244" s="4">
        <f>IF($I244='Auto Responses'!$J$11,20,IF($I244='Auto Responses'!$J$13,5,10))</f>
        <v>10</v>
      </c>
      <c r="L244" s="105" t="str">
        <f>IF($E244='Auto Responses'!$L$13, 'Auto Responses'!$J$5,IF(AND($D244='Auto Responses'!$J$27,$H244=""),'Auto Responses'!$J$5,IF(AND($D244='Auto Responses'!$J$27,$H244='Auto Responses'!$J$7),1,IF(AND($D244='Auto Responses'!$J$27,$H244='Auto Responses'!$J$8),0,IF(OR(AND($F244=$G244,$H244=""),$H244='Auto Responses'!$J$7),1,0)))))</f>
        <v>N/A</v>
      </c>
      <c r="M244" s="4" t="str">
        <f>VLOOKUP($A244,'Privacy Analyst Evaluation'!$A$46:$K$120,11,0)&amp;""</f>
        <v>FALSE</v>
      </c>
      <c r="N244" s="4">
        <f>IF($J244='Auto Responses'!$J$11,1,IF(AND($J244="",$I244='Auto Responses'!$J$11),1,0))</f>
        <v>0</v>
      </c>
      <c r="O244" s="105" t="str">
        <f>IF(OR($E244='Auto Responses'!$L$13,$F$24='Auto Responses'!$J$4,$F244='Auto Responses'!$J$5),'Auto Responses'!$J$5,IF($J244="",$K244,IF($J244='Auto Responses'!$J$13,5,IF($J244='Auto Responses'!$J$12,10,IF($J244='Auto Responses'!$J$11,20,0)))))</f>
        <v>N/A</v>
      </c>
      <c r="P244" s="105" t="str">
        <f>IF(OR($O244='Auto Responses'!$J$5,$L244='Auto Responses'!$J$5),'Auto Responses'!$J$5,$O244*$L244)</f>
        <v>N/A</v>
      </c>
      <c r="Q244" s="105">
        <f t="shared" si="21"/>
        <v>0</v>
      </c>
      <c r="R244" s="105">
        <f t="shared" si="26"/>
        <v>0</v>
      </c>
      <c r="S244" s="105">
        <f t="shared" si="22"/>
        <v>0</v>
      </c>
      <c r="T244" s="105">
        <f t="shared" si="23"/>
        <v>0</v>
      </c>
      <c r="U244" s="105">
        <f t="shared" si="27"/>
        <v>63</v>
      </c>
      <c r="V244" s="105">
        <f t="shared" si="24"/>
        <v>0</v>
      </c>
    </row>
    <row r="245" spans="1:22" ht="56" x14ac:dyDescent="0.3">
      <c r="A245" s="4" t="str">
        <f>Questions!$A245</f>
        <v>PCOM-03</v>
      </c>
      <c r="B245" s="4" t="str">
        <f t="shared" si="25"/>
        <v>PCOM</v>
      </c>
      <c r="C245" s="4" t="str">
        <f>VLOOKUP($A245,Questions!$A$3:$L$333,2,0)&amp;""</f>
        <v>Have you had any violations of your internal privacy policies or violations of applicable privacy law in the past 36 months?</v>
      </c>
      <c r="D245" s="4" t="str">
        <f>VLOOKUP($A245,Questions!$A$3:$L$333,11,0)&amp;""</f>
        <v/>
      </c>
      <c r="E245" s="4" t="str">
        <f>VLOOKUP($A245,Questions!$A$3:$L$333,12,0)&amp;""</f>
        <v>Privacy</v>
      </c>
      <c r="F245" s="4" t="str">
        <f>VLOOKUP($A245,'Privacy Analyst Evaluation'!$A$46:$K$120,3,0)&amp;""</f>
        <v>No</v>
      </c>
      <c r="G245" s="4" t="str">
        <f>VLOOKUP($A245,'Privacy Analyst Evaluation'!$A$46:$K$120,7,0)&amp;""</f>
        <v>No</v>
      </c>
      <c r="H245" s="4" t="str">
        <f>VLOOKUP($A245,'Privacy Analyst Evaluation'!$A$46:$K$120,8,0)&amp;""</f>
        <v/>
      </c>
      <c r="I245" s="4" t="str">
        <f>VLOOKUP($A245,'Privacy Analyst Evaluation'!$A$46:$K$120,9,0)&amp;""</f>
        <v>Minor Importance</v>
      </c>
      <c r="J245" s="4" t="str">
        <f>VLOOKUP($A245,'Privacy Analyst Evaluation'!$A$46:$K$120,10,0)&amp;""</f>
        <v/>
      </c>
      <c r="K245" s="4">
        <f>IF($I245='Auto Responses'!$J$11,20,IF($I245='Auto Responses'!$J$13,5,10))</f>
        <v>5</v>
      </c>
      <c r="L245" s="105">
        <f>IF($E245='Auto Responses'!$L$13, 'Auto Responses'!$J$5,IF(AND($D245='Auto Responses'!$J$27,$H245=""),'Auto Responses'!$J$5,IF(AND($D245='Auto Responses'!$J$27,$H245='Auto Responses'!$J$7),1,IF(AND($D245='Auto Responses'!$J$27,$H245='Auto Responses'!$J$8),0,IF(OR(AND($F245=$G245,$H245=""),$H245='Auto Responses'!$J$7),1,0)))))</f>
        <v>1</v>
      </c>
      <c r="M245" s="4" t="str">
        <f>VLOOKUP($A245,'Privacy Analyst Evaluation'!$A$46:$K$120,11,0)&amp;""</f>
        <v>FALSE</v>
      </c>
      <c r="N245" s="4">
        <f>IF($J245='Auto Responses'!$J$11,1,IF(AND($J245="",$I245='Auto Responses'!$J$11),1,0))</f>
        <v>0</v>
      </c>
      <c r="O245" s="105">
        <f>IF(OR($E245='Auto Responses'!$L$13,$F$24='Auto Responses'!$J$4,$F245='Auto Responses'!$J$5),'Auto Responses'!$J$5,IF($J245="",$K245,IF($J245='Auto Responses'!$J$13,5,IF($J245='Auto Responses'!$J$12,10,IF($J245='Auto Responses'!$J$11,20,0)))))</f>
        <v>5</v>
      </c>
      <c r="P245" s="105">
        <f>IF(OR($O245='Auto Responses'!$J$5,$L245='Auto Responses'!$J$5),'Auto Responses'!$J$5,$O245*$L245)</f>
        <v>5</v>
      </c>
      <c r="Q245" s="105">
        <f t="shared" si="21"/>
        <v>0</v>
      </c>
      <c r="R245" s="105">
        <f t="shared" si="26"/>
        <v>0</v>
      </c>
      <c r="S245" s="105">
        <f t="shared" si="22"/>
        <v>0</v>
      </c>
      <c r="T245" s="105">
        <f t="shared" si="23"/>
        <v>0</v>
      </c>
      <c r="U245" s="105">
        <f t="shared" si="27"/>
        <v>63</v>
      </c>
      <c r="V245" s="105">
        <f t="shared" si="24"/>
        <v>0</v>
      </c>
    </row>
    <row r="246" spans="1:22" ht="56" x14ac:dyDescent="0.3">
      <c r="A246" s="4" t="str">
        <f>Questions!$A246</f>
        <v>PCOM-04</v>
      </c>
      <c r="B246" s="4" t="str">
        <f t="shared" si="25"/>
        <v>PCOM</v>
      </c>
      <c r="C246" s="4" t="str">
        <f>VLOOKUP($A246,Questions!$A$3:$L$333,2,0)&amp;""</f>
        <v>Do you have a dedicated data privacy staff or office?</v>
      </c>
      <c r="D246" s="4" t="str">
        <f>VLOOKUP($A246,Questions!$A$3:$L$333,11,0)&amp;""</f>
        <v/>
      </c>
      <c r="E246" s="4" t="str">
        <f>VLOOKUP($A246,Questions!$A$3:$L$333,12,0)&amp;""</f>
        <v>Privacy</v>
      </c>
      <c r="F246" s="4" t="str">
        <f>VLOOKUP($A246,'Privacy Analyst Evaluation'!$A$46:$K$120,3,0)&amp;""</f>
        <v>Yes</v>
      </c>
      <c r="G246" s="4" t="str">
        <f>VLOOKUP($A246,'Privacy Analyst Evaluation'!$A$46:$K$120,7,0)&amp;""</f>
        <v>Yes</v>
      </c>
      <c r="H246" s="4" t="str">
        <f>VLOOKUP($A246,'Privacy Analyst Evaluation'!$A$46:$K$120,8,0)&amp;""</f>
        <v/>
      </c>
      <c r="I246" s="4" t="str">
        <f>VLOOKUP($A246,'Privacy Analyst Evaluation'!$A$46:$K$120,9,0)&amp;""</f>
        <v>Minor Importance</v>
      </c>
      <c r="J246" s="4" t="str">
        <f>VLOOKUP($A246,'Privacy Analyst Evaluation'!$A$46:$K$120,10,0)&amp;""</f>
        <v/>
      </c>
      <c r="K246" s="4">
        <f>IF($I246='Auto Responses'!$J$11,20,IF($I246='Auto Responses'!$J$13,5,10))</f>
        <v>5</v>
      </c>
      <c r="L246" s="105">
        <f>IF($E246='Auto Responses'!$L$13, 'Auto Responses'!$J$5,IF(AND($D246='Auto Responses'!$J$27,$H246=""),'Auto Responses'!$J$5,IF(AND($D246='Auto Responses'!$J$27,$H246='Auto Responses'!$J$7),1,IF(AND($D246='Auto Responses'!$J$27,$H246='Auto Responses'!$J$8),0,IF(OR(AND($F246=$G246,$H246=""),$H246='Auto Responses'!$J$7),1,0)))))</f>
        <v>1</v>
      </c>
      <c r="M246" s="4" t="str">
        <f>VLOOKUP($A246,'Privacy Analyst Evaluation'!$A$46:$K$120,11,0)&amp;""</f>
        <v>FALSE</v>
      </c>
      <c r="N246" s="4">
        <f>IF($J246='Auto Responses'!$J$11,1,IF(AND($J246="",$I246='Auto Responses'!$J$11),1,0))</f>
        <v>0</v>
      </c>
      <c r="O246" s="105">
        <f>IF(OR($E246='Auto Responses'!$L$13,$F$24='Auto Responses'!$J$4,$F246='Auto Responses'!$J$5),'Auto Responses'!$J$5,IF($J246="",$K246,IF($J246='Auto Responses'!$J$13,5,IF($J246='Auto Responses'!$J$12,10,IF($J246='Auto Responses'!$J$11,20,0)))))</f>
        <v>5</v>
      </c>
      <c r="P246" s="105">
        <f>IF(OR($O246='Auto Responses'!$J$5,$L246='Auto Responses'!$J$5),'Auto Responses'!$J$5,$O246*$L246)</f>
        <v>5</v>
      </c>
      <c r="Q246" s="105">
        <f t="shared" si="21"/>
        <v>0</v>
      </c>
      <c r="R246" s="105">
        <f t="shared" si="26"/>
        <v>0</v>
      </c>
      <c r="S246" s="105">
        <f t="shared" si="22"/>
        <v>0</v>
      </c>
      <c r="T246" s="105">
        <f t="shared" si="23"/>
        <v>0</v>
      </c>
      <c r="U246" s="105">
        <f t="shared" si="27"/>
        <v>63</v>
      </c>
      <c r="V246" s="105">
        <f t="shared" si="24"/>
        <v>0</v>
      </c>
    </row>
    <row r="247" spans="1:22" ht="56" x14ac:dyDescent="0.3">
      <c r="A247" s="4" t="str">
        <f>Questions!$A247</f>
        <v>PDOC-01</v>
      </c>
      <c r="B247" s="4" t="str">
        <f t="shared" si="25"/>
        <v>PDOC</v>
      </c>
      <c r="C247" s="4" t="str">
        <f>VLOOKUP($A247,Questions!$A$3:$L$333,2,0)&amp;""</f>
        <v>If you have completed a SOC 2 audit, does it include the Privacy Trust Service Principle?</v>
      </c>
      <c r="D247" s="4" t="str">
        <f>VLOOKUP($A247,Questions!$A$3:$L$333,11,0)&amp;""</f>
        <v/>
      </c>
      <c r="E247" s="4" t="str">
        <f>VLOOKUP($A247,Questions!$A$3:$L$333,12,0)&amp;""</f>
        <v>Not scored</v>
      </c>
      <c r="F247" s="4" t="str">
        <f>VLOOKUP($A247,'Privacy Analyst Evaluation'!$A$46:$K$120,3,0)&amp;""</f>
        <v>No</v>
      </c>
      <c r="G247" s="4" t="str">
        <f>VLOOKUP($A247,'Privacy Analyst Evaluation'!$A$46:$K$120,7,0)&amp;""</f>
        <v>Not scored</v>
      </c>
      <c r="H247" s="4" t="str">
        <f>VLOOKUP($A247,'Privacy Analyst Evaluation'!$A$46:$K$120,8,0)&amp;""</f>
        <v/>
      </c>
      <c r="I247" s="4" t="str">
        <f>VLOOKUP($A247,'Privacy Analyst Evaluation'!$A$46:$K$120,9,0)&amp;""</f>
        <v/>
      </c>
      <c r="J247" s="4" t="str">
        <f>VLOOKUP($A247,'Privacy Analyst Evaluation'!$A$46:$K$120,10,0)&amp;""</f>
        <v/>
      </c>
      <c r="K247" s="4">
        <f>IF($I247='Auto Responses'!$J$11,20,IF($I247='Auto Responses'!$J$13,5,10))</f>
        <v>10</v>
      </c>
      <c r="L247" s="105" t="str">
        <f>IF($E247='Auto Responses'!$L$13, 'Auto Responses'!$J$5,IF(AND($D247='Auto Responses'!$J$27,$H247=""),'Auto Responses'!$J$5,IF(AND($D247='Auto Responses'!$J$27,$H247='Auto Responses'!$J$7),1,IF(AND($D247='Auto Responses'!$J$27,$H247='Auto Responses'!$J$8),0,IF(OR(AND($F247=$G247,$H247=""),$H247='Auto Responses'!$J$7),1,0)))))</f>
        <v>N/A</v>
      </c>
      <c r="M247" s="4" t="str">
        <f>VLOOKUP($A247,'Privacy Analyst Evaluation'!$A$46:$K$120,11,0)&amp;""</f>
        <v>FALSE</v>
      </c>
      <c r="N247" s="4">
        <f>IF($J247='Auto Responses'!$J$11,1,IF(AND($J247="",$I247='Auto Responses'!$J$11),1,0))</f>
        <v>0</v>
      </c>
      <c r="O247" s="105" t="str">
        <f>IF(OR($E247='Auto Responses'!$L$13,$F247='Auto Responses'!$J$5,$F$24='Auto Responses'!$J$4),'Auto Responses'!$J$5,IF($J247="",$K247,IF($J247='Auto Responses'!$J$13,5,IF($J247='Auto Responses'!$J$12,10,IF($J247='Auto Responses'!$J$11,20,0)))))</f>
        <v>N/A</v>
      </c>
      <c r="P247" s="105" t="str">
        <f>IF(OR($O247='Auto Responses'!$J$5,$L247='Auto Responses'!$J$5),'Auto Responses'!$J$5,$O247*$L247)</f>
        <v>N/A</v>
      </c>
      <c r="Q247" s="105">
        <f t="shared" si="21"/>
        <v>0</v>
      </c>
      <c r="R247" s="105">
        <f t="shared" si="26"/>
        <v>0</v>
      </c>
      <c r="S247" s="105">
        <f t="shared" si="22"/>
        <v>0</v>
      </c>
      <c r="T247" s="105">
        <f t="shared" si="23"/>
        <v>0</v>
      </c>
      <c r="U247" s="105">
        <f t="shared" si="27"/>
        <v>63</v>
      </c>
      <c r="V247" s="105">
        <f t="shared" si="24"/>
        <v>0</v>
      </c>
    </row>
    <row r="248" spans="1:22" ht="56" x14ac:dyDescent="0.3">
      <c r="A248" s="4" t="str">
        <f>Questions!$A248</f>
        <v>PDOC-02</v>
      </c>
      <c r="B248" s="4" t="str">
        <f t="shared" si="25"/>
        <v>PDOC</v>
      </c>
      <c r="C248" s="4" t="str">
        <f>VLOOKUP($A248,Questions!$A$3:$L$333,2,0)&amp;""</f>
        <v>Do you conform with a specific industry-standard privacy framework (e.g., NIST Privacy Framework, GDPR, ISO 27701)?</v>
      </c>
      <c r="D248" s="4" t="str">
        <f>VLOOKUP($A248,Questions!$A$3:$L$333,11,0)&amp;""</f>
        <v/>
      </c>
      <c r="E248" s="4" t="str">
        <f>VLOOKUP($A248,Questions!$A$3:$L$333,12,0)&amp;""</f>
        <v>Not scored</v>
      </c>
      <c r="F248" s="4" t="str">
        <f>VLOOKUP($A248,'Privacy Analyst Evaluation'!$A$46:$K$120,3,0)&amp;""</f>
        <v>Yes</v>
      </c>
      <c r="G248" s="4" t="str">
        <f>VLOOKUP($A248,'Privacy Analyst Evaluation'!$A$46:$K$120,7,0)&amp;""</f>
        <v>Not scored</v>
      </c>
      <c r="H248" s="4" t="str">
        <f>VLOOKUP($A248,'Privacy Analyst Evaluation'!$A$46:$K$120,8,0)&amp;""</f>
        <v/>
      </c>
      <c r="I248" s="4" t="str">
        <f>VLOOKUP($A248,'Privacy Analyst Evaluation'!$A$46:$K$120,9,0)&amp;""</f>
        <v/>
      </c>
      <c r="J248" s="4" t="str">
        <f>VLOOKUP($A248,'Privacy Analyst Evaluation'!$A$46:$K$120,10,0)&amp;""</f>
        <v/>
      </c>
      <c r="K248" s="4">
        <f>IF($I248='Auto Responses'!$J$11,20,IF($I248='Auto Responses'!$J$13,5,10))</f>
        <v>10</v>
      </c>
      <c r="L248" s="105" t="str">
        <f>IF($E248='Auto Responses'!$L$13, 'Auto Responses'!$J$5,IF(AND($D248='Auto Responses'!$J$27,$H248=""),'Auto Responses'!$J$5,IF(AND($D248='Auto Responses'!$J$27,$H248='Auto Responses'!$J$7),1,IF(AND($D248='Auto Responses'!$J$27,$H248='Auto Responses'!$J$8),0,IF(OR(AND($F248=$G248,$H248=""),$H248='Auto Responses'!$J$7),1,0)))))</f>
        <v>N/A</v>
      </c>
      <c r="M248" s="4" t="str">
        <f>VLOOKUP($A248,'Privacy Analyst Evaluation'!$A$46:$K$120,11,0)&amp;""</f>
        <v>FALSE</v>
      </c>
      <c r="N248" s="4">
        <f>IF($J248='Auto Responses'!$J$11,1,IF(AND($J248="",$I248='Auto Responses'!$J$11),1,0))</f>
        <v>0</v>
      </c>
      <c r="O248" s="105" t="str">
        <f>IF(OR($E248='Auto Responses'!$L$13,$F248='Auto Responses'!$J$5,$F$24='Auto Responses'!$J$4),'Auto Responses'!$J$5,IF($J248="",$K248,IF($J248='Auto Responses'!$J$13,5,IF($J248='Auto Responses'!$J$12,10,IF($J248='Auto Responses'!$J$11,20,0)))))</f>
        <v>N/A</v>
      </c>
      <c r="P248" s="105" t="str">
        <f>IF(OR($O248='Auto Responses'!$J$5,$L248='Auto Responses'!$J$5),'Auto Responses'!$J$5,$O248*$L248)</f>
        <v>N/A</v>
      </c>
      <c r="Q248" s="105">
        <f t="shared" si="21"/>
        <v>0</v>
      </c>
      <c r="R248" s="105">
        <f t="shared" si="26"/>
        <v>0</v>
      </c>
      <c r="S248" s="105">
        <f t="shared" si="22"/>
        <v>0</v>
      </c>
      <c r="T248" s="105">
        <f t="shared" si="23"/>
        <v>0</v>
      </c>
      <c r="U248" s="105">
        <f t="shared" si="27"/>
        <v>63</v>
      </c>
      <c r="V248" s="105">
        <f t="shared" si="24"/>
        <v>0</v>
      </c>
    </row>
    <row r="249" spans="1:22" ht="56" x14ac:dyDescent="0.3">
      <c r="A249" s="4" t="str">
        <f>Questions!$A249</f>
        <v>PDOC-03</v>
      </c>
      <c r="B249" s="4" t="str">
        <f t="shared" si="25"/>
        <v>PDOC</v>
      </c>
      <c r="C249" s="4" t="str">
        <f>VLOOKUP($A249,Questions!$A$3:$L$333,2,0)&amp;""</f>
        <v>Does your employee onboarding and offboarding policy include training of employees on information security and data privacy?</v>
      </c>
      <c r="D249" s="4" t="str">
        <f>VLOOKUP($A249,Questions!$A$3:$L$333,11,0)&amp;""</f>
        <v/>
      </c>
      <c r="E249" s="4" t="str">
        <f>VLOOKUP($A249,Questions!$A$3:$L$333,12,0)&amp;""</f>
        <v>Privacy</v>
      </c>
      <c r="F249" s="4" t="str">
        <f>VLOOKUP($A249,'Privacy Analyst Evaluation'!$A$46:$K$120,3,0)&amp;""</f>
        <v>Yes</v>
      </c>
      <c r="G249" s="4" t="str">
        <f>VLOOKUP($A249,'Privacy Analyst Evaluation'!$A$46:$K$120,7,0)&amp;""</f>
        <v>Yes</v>
      </c>
      <c r="H249" s="4" t="str">
        <f>VLOOKUP($A249,'Privacy Analyst Evaluation'!$A$46:$K$120,8,0)&amp;""</f>
        <v/>
      </c>
      <c r="I249" s="4" t="str">
        <f>VLOOKUP($A249,'Privacy Analyst Evaluation'!$A$46:$K$120,9,0)&amp;""</f>
        <v>Standard Importance</v>
      </c>
      <c r="J249" s="4" t="str">
        <f>VLOOKUP($A249,'Privacy Analyst Evaluation'!$A$46:$K$120,10,0)&amp;""</f>
        <v/>
      </c>
      <c r="K249" s="4">
        <f>IF($I249='Auto Responses'!$J$11,20,IF($I249='Auto Responses'!$J$13,5,10))</f>
        <v>10</v>
      </c>
      <c r="L249" s="105">
        <f>IF($E249='Auto Responses'!$L$13, 'Auto Responses'!$J$5,IF(AND($D249='Auto Responses'!$J$27,$H249=""),'Auto Responses'!$J$5,IF(AND($D249='Auto Responses'!$J$27,$H249='Auto Responses'!$J$7),1,IF(AND($D249='Auto Responses'!$J$27,$H249='Auto Responses'!$J$8),0,IF(OR(AND($F249=$G249,$H249=""),$H249='Auto Responses'!$J$7),1,0)))))</f>
        <v>1</v>
      </c>
      <c r="M249" s="4" t="str">
        <f>VLOOKUP($A249,'Privacy Analyst Evaluation'!$A$46:$K$120,11,0)&amp;""</f>
        <v>FALSE</v>
      </c>
      <c r="N249" s="4">
        <f>IF($J249='Auto Responses'!$J$11,1,IF(AND($J249="",$I249='Auto Responses'!$J$11),1,0))</f>
        <v>0</v>
      </c>
      <c r="O249" s="105">
        <f>IF(OR($E249='Auto Responses'!$L$13,$F249='Auto Responses'!$J$5,$F$24='Auto Responses'!$J$4),'Auto Responses'!$J$5,IF($J249="",$K249,IF($J249='Auto Responses'!$J$13,5,IF($J249='Auto Responses'!$J$12,10,IF($J249='Auto Responses'!$J$11,20,0)))))</f>
        <v>10</v>
      </c>
      <c r="P249" s="105">
        <f>IF(OR($O249='Auto Responses'!$J$5,$L249='Auto Responses'!$J$5),'Auto Responses'!$J$5,$O249*$L249)</f>
        <v>10</v>
      </c>
      <c r="Q249" s="105">
        <f t="shared" si="21"/>
        <v>0</v>
      </c>
      <c r="R249" s="105">
        <f t="shared" si="26"/>
        <v>0</v>
      </c>
      <c r="S249" s="105">
        <f t="shared" si="22"/>
        <v>0</v>
      </c>
      <c r="T249" s="105">
        <f t="shared" si="23"/>
        <v>0</v>
      </c>
      <c r="U249" s="105">
        <f t="shared" si="27"/>
        <v>63</v>
      </c>
      <c r="V249" s="105">
        <f t="shared" si="24"/>
        <v>0</v>
      </c>
    </row>
    <row r="250" spans="1:22" ht="56" x14ac:dyDescent="0.3">
      <c r="A250" s="4" t="str">
        <f>Questions!$A250</f>
        <v>PTHP-01</v>
      </c>
      <c r="B250" s="4" t="str">
        <f t="shared" si="25"/>
        <v>PTHP</v>
      </c>
      <c r="C250" s="4" t="str">
        <f>VLOOKUP($A250,Questions!$A$3:$L$333,2,0)&amp;""</f>
        <v>Do you have contractual agreements with third parties that require them to maintain standards and to comply with all regulatory requirements?*</v>
      </c>
      <c r="D250" s="4" t="str">
        <f>VLOOKUP($A250,Questions!$A$3:$L$333,11,0)&amp;""</f>
        <v/>
      </c>
      <c r="E250" s="4" t="str">
        <f>VLOOKUP($A250,Questions!$A$3:$L$333,12,0)&amp;""</f>
        <v>Privacy</v>
      </c>
      <c r="F250" s="4" t="str">
        <f>VLOOKUP($A250,'Privacy Analyst Evaluation'!$A$46:$K$120,3,0)&amp;""</f>
        <v>Yes</v>
      </c>
      <c r="G250" s="4" t="str">
        <f>VLOOKUP($A250,'Privacy Analyst Evaluation'!$A$46:$K$120,7,0)&amp;""</f>
        <v>Yes</v>
      </c>
      <c r="H250" s="4" t="str">
        <f>VLOOKUP($A250,'Privacy Analyst Evaluation'!$A$46:$K$120,8,0)&amp;""</f>
        <v/>
      </c>
      <c r="I250" s="4" t="str">
        <f>VLOOKUP($A250,'Privacy Analyst Evaluation'!$A$46:$K$120,9,0)&amp;""</f>
        <v>Critical Importance</v>
      </c>
      <c r="J250" s="4" t="str">
        <f>VLOOKUP($A250,'Privacy Analyst Evaluation'!$A$46:$K$120,10,0)&amp;""</f>
        <v/>
      </c>
      <c r="K250" s="4">
        <f>IF($I250='Auto Responses'!$J$11,20,IF($I250='Auto Responses'!$J$13,5,10))</f>
        <v>20</v>
      </c>
      <c r="L250" s="105">
        <f>IF($E250='Auto Responses'!$L$13, 'Auto Responses'!$J$5,IF(AND($D250='Auto Responses'!$J$27,$H250=""),'Auto Responses'!$J$5,IF(AND($D250='Auto Responses'!$J$27,$H250='Auto Responses'!$J$7),1,IF(AND($D250='Auto Responses'!$J$27,$H250='Auto Responses'!$J$8),0,IF(OR(AND($F250=$G250,$H250=""),$H250='Auto Responses'!$J$7),1,0)))))</f>
        <v>1</v>
      </c>
      <c r="M250" s="4" t="str">
        <f>VLOOKUP($A250,'Privacy Analyst Evaluation'!$A$46:$K$120,11,0)&amp;""</f>
        <v>FALSE</v>
      </c>
      <c r="N250" s="4">
        <f>IF($J250='Auto Responses'!$J$11,1,IF(AND($J250="",$I250='Auto Responses'!$J$11),1,0))</f>
        <v>1</v>
      </c>
      <c r="O250" s="105">
        <f>IF(OR($E250='Auto Responses'!$L$13,$F$24='Auto Responses'!$J$4,$F250='Auto Responses'!$J$5),'Auto Responses'!$J$5,IF($J250="",$K250,IF($J250='Auto Responses'!$J$13,5,IF($J250='Auto Responses'!$J$12,10,IF($J250='Auto Responses'!$J$11,20,0)))))</f>
        <v>20</v>
      </c>
      <c r="P250" s="105">
        <f>IF(OR($O250='Auto Responses'!$J$5,$L250='Auto Responses'!$J$5),'Auto Responses'!$J$5,$O250*$L250)</f>
        <v>20</v>
      </c>
      <c r="Q250" s="105">
        <f t="shared" si="21"/>
        <v>0</v>
      </c>
      <c r="R250" s="105">
        <f t="shared" si="26"/>
        <v>0</v>
      </c>
      <c r="S250" s="105">
        <f t="shared" si="22"/>
        <v>0</v>
      </c>
      <c r="T250" s="105">
        <f t="shared" si="23"/>
        <v>1</v>
      </c>
      <c r="U250" s="105">
        <f t="shared" si="27"/>
        <v>64</v>
      </c>
      <c r="V250" s="105">
        <f t="shared" si="24"/>
        <v>64</v>
      </c>
    </row>
    <row r="251" spans="1:22" ht="70" x14ac:dyDescent="0.3">
      <c r="A251" s="4" t="str">
        <f>Questions!$A251</f>
        <v>PTHP-02</v>
      </c>
      <c r="B251" s="4" t="str">
        <f t="shared" si="25"/>
        <v>PTHP</v>
      </c>
      <c r="C251" s="4" t="str">
        <f>VLOOKUP($A251,Questions!$A$3:$L$333,2,0)&amp;""</f>
        <v>Do you perform privacy impact assessments of third parties that collect, process, or have access to personal data to ensure they meet industry and regulatory standards and to mitigate harmful, unethical, or discriminatory impacts on data subjects?</v>
      </c>
      <c r="D251" s="4" t="str">
        <f>VLOOKUP($A251,Questions!$A$3:$L$333,11,0)&amp;""</f>
        <v/>
      </c>
      <c r="E251" s="4" t="str">
        <f>VLOOKUP($A251,Questions!$A$3:$L$333,12,0)&amp;""</f>
        <v>Privacy</v>
      </c>
      <c r="F251" s="4" t="str">
        <f>VLOOKUP($A251,'Privacy Analyst Evaluation'!$A$46:$K$120,3,0)&amp;""</f>
        <v>Yes</v>
      </c>
      <c r="G251" s="4" t="str">
        <f>VLOOKUP($A251,'Privacy Analyst Evaluation'!$A$46:$K$120,7,0)&amp;""</f>
        <v>Yes</v>
      </c>
      <c r="H251" s="4" t="str">
        <f>VLOOKUP($A251,'Privacy Analyst Evaluation'!$A$46:$K$120,8,0)&amp;""</f>
        <v/>
      </c>
      <c r="I251" s="4" t="str">
        <f>VLOOKUP($A251,'Privacy Analyst Evaluation'!$A$46:$K$120,9,0)&amp;""</f>
        <v>Minor Importance</v>
      </c>
      <c r="J251" s="4" t="str">
        <f>VLOOKUP($A251,'Privacy Analyst Evaluation'!$A$46:$K$120,10,0)&amp;""</f>
        <v/>
      </c>
      <c r="K251" s="4">
        <f>IF($I251='Auto Responses'!$J$11,20,IF($I251='Auto Responses'!$J$13,5,10))</f>
        <v>5</v>
      </c>
      <c r="L251" s="105">
        <f>IF($E251='Auto Responses'!$L$13, 'Auto Responses'!$J$5,IF(AND($D251='Auto Responses'!$J$27,$H251=""),'Auto Responses'!$J$5,IF(AND($D251='Auto Responses'!$J$27,$H251='Auto Responses'!$J$7),1,IF(AND($D251='Auto Responses'!$J$27,$H251='Auto Responses'!$J$8),0,IF(OR(AND($F251=$G251,$H251=""),$H251='Auto Responses'!$J$7),1,0)))))</f>
        <v>1</v>
      </c>
      <c r="M251" s="4" t="str">
        <f>VLOOKUP($A251,'Privacy Analyst Evaluation'!$A$46:$K$120,11,0)&amp;""</f>
        <v>FALSE</v>
      </c>
      <c r="N251" s="4">
        <f>IF($J251='Auto Responses'!$J$11,1,IF(AND($J251="",$I251='Auto Responses'!$J$11),1,0))</f>
        <v>0</v>
      </c>
      <c r="O251" s="105">
        <f>IF(OR($E251='Auto Responses'!$L$13,$F$24='Auto Responses'!$J$4,$F251='Auto Responses'!$J$5),'Auto Responses'!$J$5,IF($J251="",$K251,IF($J251='Auto Responses'!$J$13,5,IF($J251='Auto Responses'!$J$12,10,IF($J251='Auto Responses'!$J$11,20,0)))))</f>
        <v>5</v>
      </c>
      <c r="P251" s="105">
        <f>IF(OR($O251='Auto Responses'!$J$5,$L251='Auto Responses'!$J$5),'Auto Responses'!$J$5,$O251*$L251)</f>
        <v>5</v>
      </c>
      <c r="Q251" s="105">
        <f t="shared" si="21"/>
        <v>0</v>
      </c>
      <c r="R251" s="105">
        <f t="shared" si="26"/>
        <v>0</v>
      </c>
      <c r="S251" s="105">
        <f t="shared" si="22"/>
        <v>0</v>
      </c>
      <c r="T251" s="105">
        <f t="shared" si="23"/>
        <v>0</v>
      </c>
      <c r="U251" s="105">
        <f t="shared" si="27"/>
        <v>64</v>
      </c>
      <c r="V251" s="105">
        <f t="shared" si="24"/>
        <v>0</v>
      </c>
    </row>
    <row r="252" spans="1:22" ht="56" x14ac:dyDescent="0.3">
      <c r="A252" s="4" t="str">
        <f>Questions!$A252</f>
        <v>PCHG-01</v>
      </c>
      <c r="B252" s="4" t="str">
        <f t="shared" si="25"/>
        <v>PCHG</v>
      </c>
      <c r="C252" s="4" t="str">
        <f>VLOOKUP($A252,Questions!$A$3:$L$333,2,0)&amp;""</f>
        <v>Does your change management process include privacy review and approval?</v>
      </c>
      <c r="D252" s="4" t="str">
        <f>VLOOKUP($A252,Questions!$A$3:$L$333,11,0)&amp;""</f>
        <v/>
      </c>
      <c r="E252" s="4" t="str">
        <f>VLOOKUP($A252,Questions!$A$3:$L$333,12,0)&amp;""</f>
        <v>Privacy</v>
      </c>
      <c r="F252" s="4" t="str">
        <f>VLOOKUP($A252,'Privacy Analyst Evaluation'!$A$46:$K$120,3,0)&amp;""</f>
        <v>Yes</v>
      </c>
      <c r="G252" s="4" t="str">
        <f>VLOOKUP($A252,'Privacy Analyst Evaluation'!$A$46:$K$120,7,0)&amp;""</f>
        <v>Yes</v>
      </c>
      <c r="H252" s="4" t="str">
        <f>VLOOKUP($A252,'Privacy Analyst Evaluation'!$A$46:$K$120,8,0)&amp;""</f>
        <v/>
      </c>
      <c r="I252" s="4" t="str">
        <f>VLOOKUP($A252,'Privacy Analyst Evaluation'!$A$46:$K$120,9,0)&amp;""</f>
        <v>Standard Importance</v>
      </c>
      <c r="J252" s="4" t="str">
        <f>VLOOKUP($A252,'Privacy Analyst Evaluation'!$A$46:$K$120,10,0)&amp;""</f>
        <v/>
      </c>
      <c r="K252" s="4">
        <f>IF($I252='Auto Responses'!$J$11,20,IF($I252='Auto Responses'!$J$13,5,10))</f>
        <v>10</v>
      </c>
      <c r="L252" s="105">
        <f>IF($E252='Auto Responses'!$L$13, 'Auto Responses'!$J$5,IF(AND($D252='Auto Responses'!$J$27,$H252=""),'Auto Responses'!$J$5,IF(AND($D252='Auto Responses'!$J$27,$H252='Auto Responses'!$J$7),1,IF(AND($D252='Auto Responses'!$J$27,$H252='Auto Responses'!$J$8),0,IF(OR(AND($F252=$G252,$H252=""),$H252='Auto Responses'!$J$7),1,0)))))</f>
        <v>1</v>
      </c>
      <c r="M252" s="4" t="str">
        <f>VLOOKUP($A252,'Privacy Analyst Evaluation'!$A$46:$K$120,11,0)&amp;""</f>
        <v>FALSE</v>
      </c>
      <c r="N252" s="4">
        <f>IF($J252='Auto Responses'!$J$11,1,IF(AND($J252="",$I252='Auto Responses'!$J$11),1,0))</f>
        <v>0</v>
      </c>
      <c r="O252" s="105">
        <f>IF(OR($E252='Auto Responses'!$L$13,$F$24='Auto Responses'!$J$4,$F252='Auto Responses'!$J$5),'Auto Responses'!$J$5,IF($J252="",$K252,IF($J252='Auto Responses'!$J$13,5,IF($J252='Auto Responses'!$J$12,10,IF($J252='Auto Responses'!$J$11,20,0)))))</f>
        <v>10</v>
      </c>
      <c r="P252" s="105">
        <f>IF(OR($O252='Auto Responses'!$J$5,$L252='Auto Responses'!$J$5),'Auto Responses'!$J$5,$O252*$L252)</f>
        <v>10</v>
      </c>
      <c r="Q252" s="105">
        <f t="shared" si="21"/>
        <v>0</v>
      </c>
      <c r="R252" s="105">
        <f t="shared" si="26"/>
        <v>0</v>
      </c>
      <c r="S252" s="105">
        <f t="shared" si="22"/>
        <v>0</v>
      </c>
      <c r="T252" s="105">
        <f t="shared" si="23"/>
        <v>0</v>
      </c>
      <c r="U252" s="105">
        <f t="shared" si="27"/>
        <v>64</v>
      </c>
      <c r="V252" s="105">
        <f t="shared" si="24"/>
        <v>0</v>
      </c>
    </row>
    <row r="253" spans="1:22" ht="56" x14ac:dyDescent="0.3">
      <c r="A253" s="4" t="str">
        <f>Questions!$A253</f>
        <v>PCHG-02</v>
      </c>
      <c r="B253" s="4" t="str">
        <f t="shared" si="25"/>
        <v>PCHG</v>
      </c>
      <c r="C253" s="4" t="str">
        <f>VLOOKUP($A253,Questions!$A$3:$L$333,2,0)&amp;""</f>
        <v>Do you have policy and procedure, currently implemented, guiding how privacy risks are mitigated until they can be resolved?</v>
      </c>
      <c r="D253" s="4" t="str">
        <f>VLOOKUP($A253,Questions!$A$3:$L$333,11,0)&amp;""</f>
        <v/>
      </c>
      <c r="E253" s="4" t="str">
        <f>VLOOKUP($A253,Questions!$A$3:$L$333,12,0)&amp;""</f>
        <v>Privacy</v>
      </c>
      <c r="F253" s="4" t="str">
        <f>VLOOKUP($A253,'Privacy Analyst Evaluation'!$A$46:$K$120,3,0)&amp;""</f>
        <v>Yes</v>
      </c>
      <c r="G253" s="4" t="str">
        <f>VLOOKUP($A253,'Privacy Analyst Evaluation'!$A$46:$K$120,7,0)&amp;""</f>
        <v>Yes</v>
      </c>
      <c r="H253" s="4" t="str">
        <f>VLOOKUP($A253,'Privacy Analyst Evaluation'!$A$46:$K$120,8,0)&amp;""</f>
        <v/>
      </c>
      <c r="I253" s="4" t="str">
        <f>VLOOKUP($A253,'Privacy Analyst Evaluation'!$A$46:$K$120,9,0)&amp;""</f>
        <v>Minor Importance</v>
      </c>
      <c r="J253" s="4" t="str">
        <f>VLOOKUP($A253,'Privacy Analyst Evaluation'!$A$46:$K$120,10,0)&amp;""</f>
        <v/>
      </c>
      <c r="K253" s="4">
        <f>IF($I253='Auto Responses'!$J$11,20,IF($I253='Auto Responses'!$J$13,5,10))</f>
        <v>5</v>
      </c>
      <c r="L253" s="105">
        <f>IF($E253='Auto Responses'!$L$13, 'Auto Responses'!$J$5,IF(AND($D253='Auto Responses'!$J$27,$H253=""),'Auto Responses'!$J$5,IF(AND($D253='Auto Responses'!$J$27,$H253='Auto Responses'!$J$7),1,IF(AND($D253='Auto Responses'!$J$27,$H253='Auto Responses'!$J$8),0,IF(OR(AND($F253=$G253,$H253=""),$H253='Auto Responses'!$J$7),1,0)))))</f>
        <v>1</v>
      </c>
      <c r="M253" s="4" t="str">
        <f>VLOOKUP($A253,'Privacy Analyst Evaluation'!$A$46:$K$120,11,0)&amp;""</f>
        <v>FALSE</v>
      </c>
      <c r="N253" s="4">
        <f>IF($J253='Auto Responses'!$J$11,1,IF(AND($J253="",$I253='Auto Responses'!$J$11),1,0))</f>
        <v>0</v>
      </c>
      <c r="O253" s="105">
        <f>IF(OR($E253='Auto Responses'!$L$13,$F$24='Auto Responses'!$J$4,$F253='Auto Responses'!$J$5),'Auto Responses'!$J$5,IF($J253="",$K253,IF($J253='Auto Responses'!$J$13,5,IF($J253='Auto Responses'!$J$12,10,IF($J253='Auto Responses'!$J$11,20,0)))))</f>
        <v>5</v>
      </c>
      <c r="P253" s="105">
        <f>IF(OR($O253='Auto Responses'!$J$5,$L253='Auto Responses'!$J$5),'Auto Responses'!$J$5,$O253*$L253)</f>
        <v>5</v>
      </c>
      <c r="Q253" s="105">
        <f t="shared" si="21"/>
        <v>0</v>
      </c>
      <c r="R253" s="105">
        <f t="shared" si="26"/>
        <v>0</v>
      </c>
      <c r="S253" s="105">
        <f t="shared" si="22"/>
        <v>0</v>
      </c>
      <c r="T253" s="105">
        <f t="shared" si="23"/>
        <v>0</v>
      </c>
      <c r="U253" s="105">
        <f t="shared" si="27"/>
        <v>64</v>
      </c>
      <c r="V253" s="105">
        <f t="shared" si="24"/>
        <v>0</v>
      </c>
    </row>
    <row r="254" spans="1:22" ht="56" x14ac:dyDescent="0.3">
      <c r="A254" s="4" t="str">
        <f>Questions!$A254</f>
        <v>PDAT-01</v>
      </c>
      <c r="B254" s="4" t="str">
        <f t="shared" si="25"/>
        <v>PDAT</v>
      </c>
      <c r="C254" s="4" t="str">
        <f>VLOOKUP($A254,Questions!$A$3:$L$333,2,0)&amp;""</f>
        <v>Do you collect, process, or store demographic information?*</v>
      </c>
      <c r="D254" s="4" t="str">
        <f>VLOOKUP($A254,Questions!$A$3:$L$333,11,0)&amp;""</f>
        <v/>
      </c>
      <c r="E254" s="4" t="str">
        <f>VLOOKUP($A254,Questions!$A$3:$L$333,12,0)&amp;""</f>
        <v>Privacy</v>
      </c>
      <c r="F254" s="4" t="str">
        <f>VLOOKUP($A254,'Privacy Analyst Evaluation'!$A$46:$K$120,3,0)&amp;""</f>
        <v>No</v>
      </c>
      <c r="G254" s="4" t="str">
        <f>VLOOKUP($A254,'Privacy Analyst Evaluation'!$A$46:$K$120,7,0)&amp;""</f>
        <v>No</v>
      </c>
      <c r="H254" s="4" t="str">
        <f>VLOOKUP($A254,'Privacy Analyst Evaluation'!$A$46:$K$120,8,0)&amp;""</f>
        <v/>
      </c>
      <c r="I254" s="4" t="str">
        <f>VLOOKUP($A254,'Privacy Analyst Evaluation'!$A$46:$K$120,9,0)&amp;""</f>
        <v>Critical Importance</v>
      </c>
      <c r="J254" s="4" t="str">
        <f>VLOOKUP($A254,'Privacy Analyst Evaluation'!$A$46:$K$120,10,0)&amp;""</f>
        <v/>
      </c>
      <c r="K254" s="4">
        <f>IF($I254='Auto Responses'!$J$11,20,IF($I254='Auto Responses'!$J$13,5,10))</f>
        <v>20</v>
      </c>
      <c r="L254" s="105">
        <f>IF($E254='Auto Responses'!$L$13, 'Auto Responses'!$J$5,IF(AND($D254='Auto Responses'!$J$27,$H254=""),'Auto Responses'!$J$5,IF(AND($D254='Auto Responses'!$J$27,$H254='Auto Responses'!$J$7),1,IF(AND($D254='Auto Responses'!$J$27,$H254='Auto Responses'!$J$8),0,IF(OR(AND($F254=$G254,$H254=""),$H254='Auto Responses'!$J$7),1,0)))))</f>
        <v>1</v>
      </c>
      <c r="M254" s="4" t="str">
        <f>VLOOKUP($A254,'Privacy Analyst Evaluation'!$A$46:$K$120,11,0)&amp;""</f>
        <v>FALSE</v>
      </c>
      <c r="N254" s="4">
        <f>IF($J254='Auto Responses'!$J$11,1,IF(AND($J254="",$I254='Auto Responses'!$J$11),1,0))</f>
        <v>1</v>
      </c>
      <c r="O254" s="105">
        <f>IF(OR($E254='Auto Responses'!$L$13,$F$24='Auto Responses'!$J$4,$F254='Auto Responses'!$J$5),'Auto Responses'!$J$5,IF($J254="",$K254,IF($J254='Auto Responses'!$J$13,5,IF($J254='Auto Responses'!$J$12,10,IF($J254='Auto Responses'!$J$11,20,0)))))</f>
        <v>20</v>
      </c>
      <c r="P254" s="105">
        <f>IF(OR($O254='Auto Responses'!$J$5,$L254='Auto Responses'!$J$5),'Auto Responses'!$J$5,$O254*$L254)</f>
        <v>20</v>
      </c>
      <c r="Q254" s="105">
        <f t="shared" ref="Q254:Q316" si="32">IF(M254="TRUE",1,0)</f>
        <v>0</v>
      </c>
      <c r="R254" s="105">
        <f t="shared" si="26"/>
        <v>0</v>
      </c>
      <c r="S254" s="105">
        <f t="shared" ref="S254:S316" si="33">IF(Q254=0,0,R254)</f>
        <v>0</v>
      </c>
      <c r="T254" s="105">
        <f t="shared" ref="T254:T316" si="34">IF(N254=1,1,0)</f>
        <v>1</v>
      </c>
      <c r="U254" s="105">
        <f t="shared" si="27"/>
        <v>65</v>
      </c>
      <c r="V254" s="105">
        <f t="shared" ref="V254:V316" si="35">IF(T254=0,0,U254)</f>
        <v>65</v>
      </c>
    </row>
    <row r="255" spans="1:22" ht="56" x14ac:dyDescent="0.3">
      <c r="A255" s="4" t="str">
        <f>Questions!$A255</f>
        <v>PDAT-02</v>
      </c>
      <c r="B255" s="4" t="str">
        <f t="shared" ref="B255:B317" si="36">LEFT(A255,4)</f>
        <v>PDAT</v>
      </c>
      <c r="C255" s="4" t="str">
        <f>VLOOKUP($A255,Questions!$A$3:$L$333,2,0)&amp;""</f>
        <v>Do you capture or create genetic, biometric, or behaviometric information (e.g., facial recognition or fingerprints)?*</v>
      </c>
      <c r="D255" s="4" t="str">
        <f>VLOOKUP($A255,Questions!$A$3:$L$333,11,0)&amp;""</f>
        <v/>
      </c>
      <c r="E255" s="4" t="str">
        <f>VLOOKUP($A255,Questions!$A$3:$L$333,12,0)&amp;""</f>
        <v>Privacy</v>
      </c>
      <c r="F255" s="4" t="str">
        <f>VLOOKUP($A255,'Privacy Analyst Evaluation'!$A$46:$K$120,3,0)&amp;""</f>
        <v>No</v>
      </c>
      <c r="G255" s="4" t="str">
        <f>VLOOKUP($A255,'Privacy Analyst Evaluation'!$A$46:$K$120,7,0)&amp;""</f>
        <v>No</v>
      </c>
      <c r="H255" s="4" t="str">
        <f>VLOOKUP($A255,'Privacy Analyst Evaluation'!$A$46:$K$120,8,0)&amp;""</f>
        <v/>
      </c>
      <c r="I255" s="4" t="str">
        <f>VLOOKUP($A255,'Privacy Analyst Evaluation'!$A$46:$K$120,9,0)&amp;""</f>
        <v>Critical Importance</v>
      </c>
      <c r="J255" s="4" t="str">
        <f>VLOOKUP($A255,'Privacy Analyst Evaluation'!$A$46:$K$120,10,0)&amp;""</f>
        <v/>
      </c>
      <c r="K255" s="4">
        <f>IF($I255='Auto Responses'!$J$11,20,IF($I255='Auto Responses'!$J$13,5,10))</f>
        <v>20</v>
      </c>
      <c r="L255" s="105">
        <f>IF($E255='Auto Responses'!$L$13, 'Auto Responses'!$J$5,IF(AND($D255='Auto Responses'!$J$27,$H255=""),'Auto Responses'!$J$5,IF(AND($D255='Auto Responses'!$J$27,$H255='Auto Responses'!$J$7),1,IF(AND($D255='Auto Responses'!$J$27,$H255='Auto Responses'!$J$8),0,IF(OR(AND($F255=$G255,$H255=""),$H255='Auto Responses'!$J$7),1,0)))))</f>
        <v>1</v>
      </c>
      <c r="M255" s="4" t="str">
        <f>VLOOKUP($A255,'Privacy Analyst Evaluation'!$A$46:$K$120,11,0)&amp;""</f>
        <v>FALSE</v>
      </c>
      <c r="N255" s="4">
        <f>IF($J255='Auto Responses'!$J$11,1,IF(AND($J255="",$I255='Auto Responses'!$J$11),1,0))</f>
        <v>1</v>
      </c>
      <c r="O255" s="105">
        <f>IF(OR($E255='Auto Responses'!$L$13,$F$24='Auto Responses'!$J$4,$F255='Auto Responses'!$J$5),'Auto Responses'!$J$5,IF($J255="",$K255,IF($J255='Auto Responses'!$J$13,5,IF($J255='Auto Responses'!$J$12,10,IF($J255='Auto Responses'!$J$11,20,0)))))</f>
        <v>20</v>
      </c>
      <c r="P255" s="105">
        <f>IF(OR($O255='Auto Responses'!$J$5,$L255='Auto Responses'!$J$5),'Auto Responses'!$J$5,$O255*$L255)</f>
        <v>20</v>
      </c>
      <c r="Q255" s="105">
        <f t="shared" si="32"/>
        <v>0</v>
      </c>
      <c r="R255" s="105">
        <f t="shared" si="26"/>
        <v>0</v>
      </c>
      <c r="S255" s="105">
        <f t="shared" si="33"/>
        <v>0</v>
      </c>
      <c r="T255" s="105">
        <f t="shared" si="34"/>
        <v>1</v>
      </c>
      <c r="U255" s="105">
        <f t="shared" si="27"/>
        <v>66</v>
      </c>
      <c r="V255" s="105">
        <f t="shared" si="35"/>
        <v>66</v>
      </c>
    </row>
    <row r="256" spans="1:22" ht="56" x14ac:dyDescent="0.3">
      <c r="A256" s="4" t="str">
        <f>Questions!$A256</f>
        <v>PDAT-03</v>
      </c>
      <c r="B256" s="4" t="str">
        <f t="shared" si="36"/>
        <v>PDAT</v>
      </c>
      <c r="C256" s="4" t="str">
        <f>VLOOKUP($A256,Questions!$A$3:$L$333,2,0)&amp;""</f>
        <v>Do you combine institutional data (including "de-identified," "anonymized," or otherwise masked data) with personal data from any other sources?*</v>
      </c>
      <c r="D256" s="4" t="str">
        <f>VLOOKUP($A256,Questions!$A$3:$L$333,11,0)&amp;""</f>
        <v/>
      </c>
      <c r="E256" s="4" t="str">
        <f>VLOOKUP($A256,Questions!$A$3:$L$333,12,0)&amp;""</f>
        <v>Privacy</v>
      </c>
      <c r="F256" s="4" t="str">
        <f>VLOOKUP($A256,'Privacy Analyst Evaluation'!$A$46:$K$120,3,0)&amp;""</f>
        <v>No</v>
      </c>
      <c r="G256" s="4" t="str">
        <f>VLOOKUP($A256,'Privacy Analyst Evaluation'!$A$46:$K$120,7,0)&amp;""</f>
        <v>No</v>
      </c>
      <c r="H256" s="4" t="str">
        <f>VLOOKUP($A256,'Privacy Analyst Evaluation'!$A$46:$K$120,8,0)&amp;""</f>
        <v/>
      </c>
      <c r="I256" s="4" t="str">
        <f>VLOOKUP($A256,'Privacy Analyst Evaluation'!$A$46:$K$120,9,0)&amp;""</f>
        <v>Critical Importance</v>
      </c>
      <c r="J256" s="4" t="str">
        <f>VLOOKUP($A256,'Privacy Analyst Evaluation'!$A$46:$K$120,10,0)&amp;""</f>
        <v/>
      </c>
      <c r="K256" s="4">
        <f>IF($I256='Auto Responses'!$J$11,20,IF($I256='Auto Responses'!$J$13,5,10))</f>
        <v>20</v>
      </c>
      <c r="L256" s="105">
        <f>IF($E256='Auto Responses'!$L$13, 'Auto Responses'!$J$5,IF(AND($D256='Auto Responses'!$J$27,$H256=""),'Auto Responses'!$J$5,IF(AND($D256='Auto Responses'!$J$27,$H256='Auto Responses'!$J$7),1,IF(AND($D256='Auto Responses'!$J$27,$H256='Auto Responses'!$J$8),0,IF(OR(AND($F256=$G256,$H256=""),$H256='Auto Responses'!$J$7),1,0)))))</f>
        <v>1</v>
      </c>
      <c r="M256" s="4" t="str">
        <f>VLOOKUP($A256,'Privacy Analyst Evaluation'!$A$46:$K$120,11,0)&amp;""</f>
        <v>FALSE</v>
      </c>
      <c r="N256" s="4">
        <f>IF($J256='Auto Responses'!$J$11,1,IF(AND($J256="",$I256='Auto Responses'!$J$11),1,0))</f>
        <v>1</v>
      </c>
      <c r="O256" s="105">
        <f>IF(OR($E256='Auto Responses'!$L$13,$F$24='Auto Responses'!$J$4,$F256='Auto Responses'!$J$5),'Auto Responses'!$J$5,IF($J256="",$K256,IF($J256='Auto Responses'!$J$13,5,IF($J256='Auto Responses'!$J$12,10,IF($J256='Auto Responses'!$J$11,20,0)))))</f>
        <v>20</v>
      </c>
      <c r="P256" s="105">
        <f>IF(OR($O256='Auto Responses'!$J$5,$L256='Auto Responses'!$J$5),'Auto Responses'!$J$5,$O256*$L256)</f>
        <v>20</v>
      </c>
      <c r="Q256" s="105">
        <f t="shared" si="32"/>
        <v>0</v>
      </c>
      <c r="R256" s="105">
        <f t="shared" si="26"/>
        <v>0</v>
      </c>
      <c r="S256" s="105">
        <f t="shared" si="33"/>
        <v>0</v>
      </c>
      <c r="T256" s="105">
        <f t="shared" si="34"/>
        <v>1</v>
      </c>
      <c r="U256" s="105">
        <f t="shared" si="27"/>
        <v>67</v>
      </c>
      <c r="V256" s="105">
        <f t="shared" si="35"/>
        <v>67</v>
      </c>
    </row>
    <row r="257" spans="1:22" ht="56" x14ac:dyDescent="0.3">
      <c r="A257" s="4" t="str">
        <f>Questions!$A257</f>
        <v>PDAT-04</v>
      </c>
      <c r="B257" s="4" t="str">
        <f t="shared" si="36"/>
        <v>PDAT</v>
      </c>
      <c r="C257" s="4" t="str">
        <f>VLOOKUP($A257,Questions!$A$3:$L$333,2,0)&amp;""</f>
        <v>Is institutional data coming into or going out of the United States at any point during collection, processing, storage, or archiving?</v>
      </c>
      <c r="D257" s="4" t="str">
        <f>VLOOKUP($A257,Questions!$A$3:$L$333,11,0)&amp;""</f>
        <v/>
      </c>
      <c r="E257" s="4" t="str">
        <f>VLOOKUP($A257,Questions!$A$3:$L$333,12,0)&amp;""</f>
        <v>Privacy</v>
      </c>
      <c r="F257" s="4" t="str">
        <f>VLOOKUP($A257,'Privacy Analyst Evaluation'!$A$46:$K$120,3,0)&amp;""</f>
        <v>Yes</v>
      </c>
      <c r="G257" s="4" t="str">
        <f>VLOOKUP($A257,'Privacy Analyst Evaluation'!$A$46:$K$120,7,0)&amp;""</f>
        <v>No</v>
      </c>
      <c r="H257" s="4" t="str">
        <f>VLOOKUP($A257,'Privacy Analyst Evaluation'!$A$46:$K$120,8,0)&amp;""</f>
        <v/>
      </c>
      <c r="I257" s="4" t="str">
        <f>VLOOKUP($A257,'Privacy Analyst Evaluation'!$A$46:$K$120,9,0)&amp;""</f>
        <v>Minor Importance</v>
      </c>
      <c r="J257" s="4" t="str">
        <f>VLOOKUP($A257,'Privacy Analyst Evaluation'!$A$46:$K$120,10,0)&amp;""</f>
        <v/>
      </c>
      <c r="K257" s="4">
        <f>IF($I257='Auto Responses'!$J$11,20,IF($I257='Auto Responses'!$J$13,5,10))</f>
        <v>5</v>
      </c>
      <c r="L257" s="105">
        <f>IF($E257='Auto Responses'!$L$13, 'Auto Responses'!$J$5,IF(AND($D257='Auto Responses'!$J$27,$H257=""),'Auto Responses'!$J$5,IF(AND($D257='Auto Responses'!$J$27,$H257='Auto Responses'!$J$7),1,IF(AND($D257='Auto Responses'!$J$27,$H257='Auto Responses'!$J$8),0,IF(OR(AND($F257=$G257,$H257=""),$H257='Auto Responses'!$J$7),1,0)))))</f>
        <v>0</v>
      </c>
      <c r="M257" s="4" t="str">
        <f>VLOOKUP($A257,'Privacy Analyst Evaluation'!$A$46:$K$120,11,0)&amp;""</f>
        <v>FALSE</v>
      </c>
      <c r="N257" s="4">
        <f>IF($J257='Auto Responses'!$J$11,1,IF(AND($J257="",$I257='Auto Responses'!$J$11),1,0))</f>
        <v>0</v>
      </c>
      <c r="O257" s="105">
        <f>IF(OR($E257='Auto Responses'!$L$13,$F$24='Auto Responses'!$J$4,$F257='Auto Responses'!$J$5),'Auto Responses'!$J$5,IF($J257="",$K257,IF($J257='Auto Responses'!$J$13,5,IF($J257='Auto Responses'!$J$12,10,IF($J257='Auto Responses'!$J$11,20,0)))))</f>
        <v>5</v>
      </c>
      <c r="P257" s="105">
        <f>IF(OR($O257='Auto Responses'!$J$5,$L257='Auto Responses'!$J$5),'Auto Responses'!$J$5,$O257*$L257)</f>
        <v>0</v>
      </c>
      <c r="Q257" s="105">
        <f t="shared" si="32"/>
        <v>0</v>
      </c>
      <c r="R257" s="105">
        <f t="shared" si="26"/>
        <v>0</v>
      </c>
      <c r="S257" s="105">
        <f t="shared" si="33"/>
        <v>0</v>
      </c>
      <c r="T257" s="105">
        <f t="shared" si="34"/>
        <v>0</v>
      </c>
      <c r="U257" s="105">
        <f t="shared" si="27"/>
        <v>67</v>
      </c>
      <c r="V257" s="105">
        <f t="shared" si="35"/>
        <v>0</v>
      </c>
    </row>
    <row r="258" spans="1:22" ht="56" x14ac:dyDescent="0.3">
      <c r="A258" s="4" t="str">
        <f>Questions!$A258</f>
        <v>PDAT-05</v>
      </c>
      <c r="B258" s="4" t="str">
        <f t="shared" si="36"/>
        <v>PDAT</v>
      </c>
      <c r="C258" s="4" t="str">
        <f>VLOOKUP($A258,Questions!$A$3:$L$333,2,0)&amp;""</f>
        <v>Do you capture device information (e.g., IP address, MAC address)?</v>
      </c>
      <c r="D258" s="4" t="str">
        <f>VLOOKUP($A258,Questions!$A$3:$L$333,11,0)&amp;""</f>
        <v/>
      </c>
      <c r="E258" s="4" t="str">
        <f>VLOOKUP($A258,Questions!$A$3:$L$333,12,0)&amp;""</f>
        <v>Privacy</v>
      </c>
      <c r="F258" s="4" t="str">
        <f>VLOOKUP($A258,'Privacy Analyst Evaluation'!$A$46:$K$120,3,0)&amp;""</f>
        <v>Yes</v>
      </c>
      <c r="G258" s="4" t="str">
        <f>VLOOKUP($A258,'Privacy Analyst Evaluation'!$A$46:$K$120,7,0)&amp;""</f>
        <v>No</v>
      </c>
      <c r="H258" s="4" t="str">
        <f>VLOOKUP($A258,'Privacy Analyst Evaluation'!$A$46:$K$120,8,0)&amp;""</f>
        <v/>
      </c>
      <c r="I258" s="4" t="str">
        <f>VLOOKUP($A258,'Privacy Analyst Evaluation'!$A$46:$K$120,9,0)&amp;""</f>
        <v>Minor Importance</v>
      </c>
      <c r="J258" s="4" t="str">
        <f>VLOOKUP($A258,'Privacy Analyst Evaluation'!$A$46:$K$120,10,0)&amp;""</f>
        <v/>
      </c>
      <c r="K258" s="4">
        <f>IF($I258='Auto Responses'!$J$11,20,IF($I258='Auto Responses'!$J$13,5,10))</f>
        <v>5</v>
      </c>
      <c r="L258" s="105">
        <f>IF($E258='Auto Responses'!$L$13, 'Auto Responses'!$J$5,IF(AND($D258='Auto Responses'!$J$27,$H258=""),'Auto Responses'!$J$5,IF(AND($D258='Auto Responses'!$J$27,$H258='Auto Responses'!$J$7),1,IF(AND($D258='Auto Responses'!$J$27,$H258='Auto Responses'!$J$8),0,IF(OR(AND($F258=$G258,$H258=""),$H258='Auto Responses'!$J$7),1,0)))))</f>
        <v>0</v>
      </c>
      <c r="M258" s="4" t="str">
        <f>VLOOKUP($A258,'Privacy Analyst Evaluation'!$A$46:$K$120,11,0)&amp;""</f>
        <v>FALSE</v>
      </c>
      <c r="N258" s="4">
        <f>IF($J258='Auto Responses'!$J$11,1,IF(AND($J258="",$I258='Auto Responses'!$J$11),1,0))</f>
        <v>0</v>
      </c>
      <c r="O258" s="105">
        <f>IF(OR($E258='Auto Responses'!$L$13,$F$24='Auto Responses'!$J$4,$F258='Auto Responses'!$J$5),'Auto Responses'!$J$5,IF($J258="",$K258,IF($J258='Auto Responses'!$J$13,5,IF($J258='Auto Responses'!$J$12,10,IF($J258='Auto Responses'!$J$11,20,0)))))</f>
        <v>5</v>
      </c>
      <c r="P258" s="105">
        <f>IF(OR($O258='Auto Responses'!$J$5,$L258='Auto Responses'!$J$5),'Auto Responses'!$J$5,$O258*$L258)</f>
        <v>0</v>
      </c>
      <c r="Q258" s="105">
        <f t="shared" si="32"/>
        <v>0</v>
      </c>
      <c r="R258" s="105">
        <f t="shared" si="26"/>
        <v>0</v>
      </c>
      <c r="S258" s="105">
        <f t="shared" si="33"/>
        <v>0</v>
      </c>
      <c r="T258" s="105">
        <f t="shared" si="34"/>
        <v>0</v>
      </c>
      <c r="U258" s="105">
        <f t="shared" si="27"/>
        <v>67</v>
      </c>
      <c r="V258" s="105">
        <f t="shared" si="35"/>
        <v>0</v>
      </c>
    </row>
    <row r="259" spans="1:22" ht="56" x14ac:dyDescent="0.3">
      <c r="A259" s="4" t="str">
        <f>Questions!$A259</f>
        <v>PDAT-06</v>
      </c>
      <c r="B259" s="4" t="str">
        <f t="shared" si="36"/>
        <v>PDAT</v>
      </c>
      <c r="C259" s="4" t="str">
        <f>VLOOKUP($A259,Questions!$A$3:$L$333,2,0)&amp;""</f>
        <v>Does any part of this service/project involve a web/app tracking component (e.g., use of web-tracking pixels, cookies)?</v>
      </c>
      <c r="D259" s="4" t="str">
        <f>VLOOKUP($A259,Questions!$A$3:$L$333,11,0)&amp;""</f>
        <v/>
      </c>
      <c r="E259" s="4" t="str">
        <f>VLOOKUP($A259,Questions!$A$3:$L$333,12,0)&amp;""</f>
        <v>Privacy</v>
      </c>
      <c r="F259" s="4" t="str">
        <f>VLOOKUP($A259,'Privacy Analyst Evaluation'!$A$46:$K$120,3,0)&amp;""</f>
        <v>Yes</v>
      </c>
      <c r="G259" s="4" t="str">
        <f>VLOOKUP($A259,'Privacy Analyst Evaluation'!$A$46:$K$120,7,0)&amp;""</f>
        <v>No</v>
      </c>
      <c r="H259" s="4" t="str">
        <f>VLOOKUP($A259,'Privacy Analyst Evaluation'!$A$46:$K$120,8,0)&amp;""</f>
        <v/>
      </c>
      <c r="I259" s="4" t="str">
        <f>VLOOKUP($A259,'Privacy Analyst Evaluation'!$A$46:$K$120,9,0)&amp;""</f>
        <v>Minor Importance</v>
      </c>
      <c r="J259" s="4" t="str">
        <f>VLOOKUP($A259,'Privacy Analyst Evaluation'!$A$46:$K$120,10,0)&amp;""</f>
        <v/>
      </c>
      <c r="K259" s="4">
        <f>IF($I259='Auto Responses'!$J$11,20,IF($I259='Auto Responses'!$J$13,5,10))</f>
        <v>5</v>
      </c>
      <c r="L259" s="105">
        <f>IF($E259='Auto Responses'!$L$13, 'Auto Responses'!$J$5,IF(AND($D259='Auto Responses'!$J$27,$H259=""),'Auto Responses'!$J$5,IF(AND($D259='Auto Responses'!$J$27,$H259='Auto Responses'!$J$7),1,IF(AND($D259='Auto Responses'!$J$27,$H259='Auto Responses'!$J$8),0,IF(OR(AND($F259=$G259,$H259=""),$H259='Auto Responses'!$J$7),1,0)))))</f>
        <v>0</v>
      </c>
      <c r="M259" s="4" t="str">
        <f>VLOOKUP($A259,'Privacy Analyst Evaluation'!$A$46:$K$120,11,0)&amp;""</f>
        <v>FALSE</v>
      </c>
      <c r="N259" s="4">
        <f>IF($J259='Auto Responses'!$J$11,1,IF(AND($J259="",$I259='Auto Responses'!$J$11),1,0))</f>
        <v>0</v>
      </c>
      <c r="O259" s="105">
        <f>IF(OR($E259='Auto Responses'!$L$13,$F$24='Auto Responses'!$J$4,$F259='Auto Responses'!$J$5),'Auto Responses'!$J$5,IF($J259="",$K259,IF($J259='Auto Responses'!$J$13,5,IF($J259='Auto Responses'!$J$12,10,IF($J259='Auto Responses'!$J$11,20,0)))))</f>
        <v>5</v>
      </c>
      <c r="P259" s="105">
        <f>IF(OR($O259='Auto Responses'!$J$5,$L259='Auto Responses'!$J$5),'Auto Responses'!$J$5,$O259*$L259)</f>
        <v>0</v>
      </c>
      <c r="Q259" s="105">
        <f t="shared" si="32"/>
        <v>0</v>
      </c>
      <c r="R259" s="105">
        <f t="shared" si="26"/>
        <v>0</v>
      </c>
      <c r="S259" s="105">
        <f t="shared" si="33"/>
        <v>0</v>
      </c>
      <c r="T259" s="105">
        <f t="shared" si="34"/>
        <v>0</v>
      </c>
      <c r="U259" s="105">
        <f t="shared" si="27"/>
        <v>67</v>
      </c>
      <c r="V259" s="105">
        <f t="shared" si="35"/>
        <v>0</v>
      </c>
    </row>
    <row r="260" spans="1:22" ht="56" x14ac:dyDescent="0.3">
      <c r="A260" s="4" t="str">
        <f>Questions!$A260</f>
        <v>PDAT-07</v>
      </c>
      <c r="B260" s="4" t="str">
        <f t="shared" si="36"/>
        <v>PDAT</v>
      </c>
      <c r="C260" s="4" t="str">
        <f>VLOOKUP($A260,Questions!$A$3:$L$333,2,0)&amp;""</f>
        <v>Does your staff (or a third party) have access to institutional data (e.g., financial, PHI, or other sensitive information) through any means?</v>
      </c>
      <c r="D260" s="4" t="str">
        <f>VLOOKUP($A260,Questions!$A$3:$L$333,11,0)&amp;""</f>
        <v/>
      </c>
      <c r="E260" s="4" t="str">
        <f>VLOOKUP($A260,Questions!$A$3:$L$333,12,0)&amp;""</f>
        <v>Privacy</v>
      </c>
      <c r="F260" s="4" t="str">
        <f>VLOOKUP($A260,'Privacy Analyst Evaluation'!$A$46:$K$120,3,0)&amp;""</f>
        <v>Yes</v>
      </c>
      <c r="G260" s="4" t="str">
        <f>VLOOKUP($A260,'Privacy Analyst Evaluation'!$A$46:$K$120,7,0)&amp;""</f>
        <v>No</v>
      </c>
      <c r="H260" s="4" t="str">
        <f>VLOOKUP($A260,'Privacy Analyst Evaluation'!$A$46:$K$120,8,0)&amp;""</f>
        <v/>
      </c>
      <c r="I260" s="4" t="str">
        <f>VLOOKUP($A260,'Privacy Analyst Evaluation'!$A$46:$K$120,9,0)&amp;""</f>
        <v>Minor Importance</v>
      </c>
      <c r="J260" s="4" t="str">
        <f>VLOOKUP($A260,'Privacy Analyst Evaluation'!$A$46:$K$120,10,0)&amp;""</f>
        <v/>
      </c>
      <c r="K260" s="4">
        <f>IF($I260='Auto Responses'!$J$11,20,IF($I260='Auto Responses'!$J$13,5,10))</f>
        <v>5</v>
      </c>
      <c r="L260" s="105">
        <f>IF($E260='Auto Responses'!$L$13, 'Auto Responses'!$J$5,IF(AND($D260='Auto Responses'!$J$27,$H260=""),'Auto Responses'!$J$5,IF(AND($D260='Auto Responses'!$J$27,$H260='Auto Responses'!$J$7),1,IF(AND($D260='Auto Responses'!$J$27,$H260='Auto Responses'!$J$8),0,IF(OR(AND($F260=$G260,$H260=""),$H260='Auto Responses'!$J$7),1,0)))))</f>
        <v>0</v>
      </c>
      <c r="M260" s="4" t="str">
        <f>VLOOKUP($A260,'Privacy Analyst Evaluation'!$A$46:$K$120,11,0)&amp;""</f>
        <v>FALSE</v>
      </c>
      <c r="N260" s="4">
        <f>IF($J260='Auto Responses'!$J$11,1,IF(AND($J260="",$I260='Auto Responses'!$J$11),1,0))</f>
        <v>0</v>
      </c>
      <c r="O260" s="105">
        <f>IF(OR($E260='Auto Responses'!$L$13,$F$24='Auto Responses'!$J$4,$F260='Auto Responses'!$J$5),'Auto Responses'!$J$5,IF($J260="",$K260,IF($J260='Auto Responses'!$J$13,5,IF($J260='Auto Responses'!$J$12,10,IF($J260='Auto Responses'!$J$11,20,0)))))</f>
        <v>5</v>
      </c>
      <c r="P260" s="105">
        <f>IF(OR($O260='Auto Responses'!$J$5,$L260='Auto Responses'!$J$5),'Auto Responses'!$J$5,$O260*$L260)</f>
        <v>0</v>
      </c>
      <c r="Q260" s="105">
        <f t="shared" si="32"/>
        <v>0</v>
      </c>
      <c r="R260" s="105">
        <f t="shared" si="26"/>
        <v>0</v>
      </c>
      <c r="S260" s="105">
        <f t="shared" si="33"/>
        <v>0</v>
      </c>
      <c r="T260" s="105">
        <f t="shared" si="34"/>
        <v>0</v>
      </c>
      <c r="U260" s="105">
        <f t="shared" si="27"/>
        <v>67</v>
      </c>
      <c r="V260" s="105">
        <f t="shared" si="35"/>
        <v>0</v>
      </c>
    </row>
    <row r="261" spans="1:22" ht="56" x14ac:dyDescent="0.3">
      <c r="A261" s="4" t="str">
        <f>Questions!$A261</f>
        <v>PDAT-08</v>
      </c>
      <c r="B261" s="4" t="str">
        <f t="shared" si="36"/>
        <v>PDAT</v>
      </c>
      <c r="C261" s="4" t="str">
        <f>VLOOKUP($A261,Questions!$A$3:$L$333,2,0)&amp;""</f>
        <v>Will you handle personal data in a manner compliant with all relevant laws, regulations, and applicable institution policies?</v>
      </c>
      <c r="D261" s="4" t="str">
        <f>VLOOKUP($A261,Questions!$A$3:$L$333,11,0)&amp;""</f>
        <v/>
      </c>
      <c r="E261" s="4" t="str">
        <f>VLOOKUP($A261,Questions!$A$3:$L$333,12,0)&amp;""</f>
        <v>Not scored</v>
      </c>
      <c r="F261" s="4" t="str">
        <f>VLOOKUP($A261,'Privacy Analyst Evaluation'!$A$46:$K$120,3,0)&amp;""</f>
        <v>Yes</v>
      </c>
      <c r="G261" s="4" t="str">
        <f>VLOOKUP($A261,'Privacy Analyst Evaluation'!$A$46:$K$120,7,0)&amp;""</f>
        <v>Not scored</v>
      </c>
      <c r="H261" s="4" t="str">
        <f>VLOOKUP($A261,'Privacy Analyst Evaluation'!$A$46:$K$120,8,0)&amp;""</f>
        <v/>
      </c>
      <c r="I261" s="4" t="str">
        <f>VLOOKUP($A261,'Privacy Analyst Evaluation'!$A$46:$K$120,9,0)&amp;""</f>
        <v/>
      </c>
      <c r="J261" s="4" t="str">
        <f>VLOOKUP($A261,'Privacy Analyst Evaluation'!$A$46:$K$120,10,0)&amp;""</f>
        <v/>
      </c>
      <c r="K261" s="4">
        <f>IF($I261='Auto Responses'!$J$11,20,IF($I261='Auto Responses'!$J$13,5,10))</f>
        <v>10</v>
      </c>
      <c r="L261" s="105" t="str">
        <f>IF($E261='Auto Responses'!$L$13, 'Auto Responses'!$J$5,IF(AND($D261='Auto Responses'!$J$27,$H261=""),'Auto Responses'!$J$5,IF(AND($D261='Auto Responses'!$J$27,$H261='Auto Responses'!$J$7),1,IF(AND($D261='Auto Responses'!$J$27,$H261='Auto Responses'!$J$8),0,IF(OR(AND($F261=$G261,$H261=""),$H261='Auto Responses'!$J$7),1,0)))))</f>
        <v>N/A</v>
      </c>
      <c r="M261" s="4" t="str">
        <f>VLOOKUP($A261,'Privacy Analyst Evaluation'!$A$46:$K$120,11,0)&amp;""</f>
        <v>FALSE</v>
      </c>
      <c r="N261" s="4">
        <f>IF($J261='Auto Responses'!$J$11,1,IF(AND($J261="",$I261='Auto Responses'!$J$11),1,0))</f>
        <v>0</v>
      </c>
      <c r="O261" s="105" t="str">
        <f>IF(OR($E261='Auto Responses'!$L$13,$F$24='Auto Responses'!$J$4,$F261='Auto Responses'!$J$5),'Auto Responses'!$J$5,IF($J261="",$K261,IF($J261='Auto Responses'!$J$13,5,IF($J261='Auto Responses'!$J$12,10,IF($J261='Auto Responses'!$J$11,20,0)))))</f>
        <v>N/A</v>
      </c>
      <c r="P261" s="105" t="str">
        <f>IF(OR($O261='Auto Responses'!$J$5,$L261='Auto Responses'!$J$5),'Auto Responses'!$J$5,$O261*$L261)</f>
        <v>N/A</v>
      </c>
      <c r="Q261" s="105">
        <f t="shared" si="32"/>
        <v>0</v>
      </c>
      <c r="R261" s="105">
        <f t="shared" ref="R261:R324" si="37">R260+Q261</f>
        <v>0</v>
      </c>
      <c r="S261" s="105">
        <f t="shared" si="33"/>
        <v>0</v>
      </c>
      <c r="T261" s="105">
        <f t="shared" si="34"/>
        <v>0</v>
      </c>
      <c r="U261" s="105">
        <f t="shared" ref="U261:U324" si="38">U260+T261</f>
        <v>67</v>
      </c>
      <c r="V261" s="105">
        <f t="shared" si="35"/>
        <v>0</v>
      </c>
    </row>
    <row r="262" spans="1:22" ht="56" x14ac:dyDescent="0.3">
      <c r="A262" s="4" t="str">
        <f>Questions!$A262</f>
        <v>PRPO-01</v>
      </c>
      <c r="B262" s="4" t="str">
        <f t="shared" si="36"/>
        <v>PRPO</v>
      </c>
      <c r="C262" s="4" t="str">
        <f>VLOOKUP($A262,Questions!$A$3:$L$333,2,0)&amp;""</f>
        <v>Do you have a documented privacy management process?</v>
      </c>
      <c r="D262" s="4" t="str">
        <f>VLOOKUP($A262,Questions!$A$3:$L$333,11,0)&amp;""</f>
        <v/>
      </c>
      <c r="E262" s="4" t="str">
        <f>VLOOKUP($A262,Questions!$A$3:$L$333,12,0)&amp;""</f>
        <v>Privacy</v>
      </c>
      <c r="F262" s="4" t="str">
        <f>VLOOKUP($A262,'Privacy Analyst Evaluation'!$A$46:$K$120,3,0)&amp;""</f>
        <v>Yes</v>
      </c>
      <c r="G262" s="4" t="str">
        <f>VLOOKUP($A262,'Privacy Analyst Evaluation'!$A$46:$K$120,7,0)&amp;""</f>
        <v>Yes</v>
      </c>
      <c r="H262" s="4" t="str">
        <f>VLOOKUP($A262,'Privacy Analyst Evaluation'!$A$46:$K$120,8,0)&amp;""</f>
        <v/>
      </c>
      <c r="I262" s="4" t="str">
        <f>VLOOKUP($A262,'Privacy Analyst Evaluation'!$A$46:$K$120,9,0)&amp;""</f>
        <v>Minor Importance</v>
      </c>
      <c r="J262" s="4" t="str">
        <f>VLOOKUP($A262,'Privacy Analyst Evaluation'!$A$46:$K$120,10,0)&amp;""</f>
        <v/>
      </c>
      <c r="K262" s="4">
        <f>IF($I262='Auto Responses'!$J$11,20,IF($I262='Auto Responses'!$J$13,5,10))</f>
        <v>5</v>
      </c>
      <c r="L262" s="105">
        <f>IF($E262='Auto Responses'!$L$13, 'Auto Responses'!$J$5,IF(AND($D262='Auto Responses'!$J$27,$H262=""),'Auto Responses'!$J$5,IF(AND($D262='Auto Responses'!$J$27,$H262='Auto Responses'!$J$7),1,IF(AND($D262='Auto Responses'!$J$27,$H262='Auto Responses'!$J$8),0,IF(OR(AND($F262=$G262,$H262=""),$H262='Auto Responses'!$J$7),1,0)))))</f>
        <v>1</v>
      </c>
      <c r="M262" s="4" t="str">
        <f>VLOOKUP($A262,'Privacy Analyst Evaluation'!$A$46:$K$120,11,0)&amp;""</f>
        <v>FALSE</v>
      </c>
      <c r="N262" s="4">
        <f>IF($J262='Auto Responses'!$J$11,1,IF(AND($J262="",$I262='Auto Responses'!$J$11),1,0))</f>
        <v>0</v>
      </c>
      <c r="O262" s="105">
        <f>IF(OR($E262='Auto Responses'!$L$13,$F$24='Auto Responses'!$J$4,$F262='Auto Responses'!$J$5),'Auto Responses'!$J$5,IF($J262="",$K262,IF($J262='Auto Responses'!$J$13,5,IF($J262='Auto Responses'!$J$12,10,IF($J262='Auto Responses'!$J$11,20,0)))))</f>
        <v>5</v>
      </c>
      <c r="P262" s="105">
        <f>IF(OR($O262='Auto Responses'!$J$5,$L262='Auto Responses'!$J$5),'Auto Responses'!$J$5,$O262*$L262)</f>
        <v>5</v>
      </c>
      <c r="Q262" s="105">
        <f t="shared" si="32"/>
        <v>0</v>
      </c>
      <c r="R262" s="105">
        <f t="shared" si="37"/>
        <v>0</v>
      </c>
      <c r="S262" s="105">
        <f t="shared" si="33"/>
        <v>0</v>
      </c>
      <c r="T262" s="105">
        <f t="shared" si="34"/>
        <v>0</v>
      </c>
      <c r="U262" s="105">
        <f t="shared" si="38"/>
        <v>67</v>
      </c>
      <c r="V262" s="105">
        <f t="shared" si="35"/>
        <v>0</v>
      </c>
    </row>
    <row r="263" spans="1:22" ht="56" x14ac:dyDescent="0.3">
      <c r="A263" s="4" t="str">
        <f>Questions!$A263</f>
        <v>PRPO-02</v>
      </c>
      <c r="B263" s="4" t="str">
        <f t="shared" si="36"/>
        <v>PRPO</v>
      </c>
      <c r="C263" s="4" t="str">
        <f>VLOOKUP($A263,Questions!$A$3:$L$333,2,0)&amp;""</f>
        <v>Are privacy principles designed into the product lifecycle (i.e., privacy-by-design)?</v>
      </c>
      <c r="D263" s="4" t="str">
        <f>VLOOKUP($A263,Questions!$A$3:$L$333,11,0)&amp;""</f>
        <v/>
      </c>
      <c r="E263" s="4" t="str">
        <f>VLOOKUP($A263,Questions!$A$3:$L$333,12,0)&amp;""</f>
        <v>Privacy</v>
      </c>
      <c r="F263" s="4" t="str">
        <f>VLOOKUP($A263,'Privacy Analyst Evaluation'!$A$46:$K$120,3,0)&amp;""</f>
        <v>Yes</v>
      </c>
      <c r="G263" s="4" t="str">
        <f>VLOOKUP($A263,'Privacy Analyst Evaluation'!$A$46:$K$120,7,0)&amp;""</f>
        <v>Yes</v>
      </c>
      <c r="H263" s="4" t="str">
        <f>VLOOKUP($A263,'Privacy Analyst Evaluation'!$A$46:$K$120,8,0)&amp;""</f>
        <v/>
      </c>
      <c r="I263" s="4" t="str">
        <f>VLOOKUP($A263,'Privacy Analyst Evaluation'!$A$46:$K$120,9,0)&amp;""</f>
        <v>Minor Importance</v>
      </c>
      <c r="J263" s="4" t="str">
        <f>VLOOKUP($A263,'Privacy Analyst Evaluation'!$A$46:$K$120,10,0)&amp;""</f>
        <v/>
      </c>
      <c r="K263" s="4">
        <f>IF($I263='Auto Responses'!$J$11,20,IF($I263='Auto Responses'!$J$13,5,10))</f>
        <v>5</v>
      </c>
      <c r="L263" s="105">
        <f>IF($E263='Auto Responses'!$L$13, 'Auto Responses'!$J$5,IF(AND($D263='Auto Responses'!$J$27,$H263=""),'Auto Responses'!$J$5,IF(AND($D263='Auto Responses'!$J$27,$H263='Auto Responses'!$J$7),1,IF(AND($D263='Auto Responses'!$J$27,$H263='Auto Responses'!$J$8),0,IF(OR(AND($F263=$G263,$H263=""),$H263='Auto Responses'!$J$7),1,0)))))</f>
        <v>1</v>
      </c>
      <c r="M263" s="4" t="str">
        <f>VLOOKUP($A263,'Privacy Analyst Evaluation'!$A$46:$K$120,11,0)&amp;""</f>
        <v>FALSE</v>
      </c>
      <c r="N263" s="4">
        <f>IF($J263='Auto Responses'!$J$11,1,IF(AND($J263="",$I263='Auto Responses'!$J$11),1,0))</f>
        <v>0</v>
      </c>
      <c r="O263" s="105">
        <f>IF(OR($E263='Auto Responses'!$L$13,$F$24='Auto Responses'!$J$4,$F263='Auto Responses'!$J$5),'Auto Responses'!$J$5,IF($J263="",$K263,IF($J263='Auto Responses'!$J$13,5,IF($J263='Auto Responses'!$J$12,10,IF($J263='Auto Responses'!$J$11,20,0)))))</f>
        <v>5</v>
      </c>
      <c r="P263" s="105">
        <f>IF(OR($O263='Auto Responses'!$J$5,$L263='Auto Responses'!$J$5),'Auto Responses'!$J$5,$O263*$L263)</f>
        <v>5</v>
      </c>
      <c r="Q263" s="105">
        <f t="shared" si="32"/>
        <v>0</v>
      </c>
      <c r="R263" s="105">
        <f t="shared" si="37"/>
        <v>0</v>
      </c>
      <c r="S263" s="105">
        <f t="shared" si="33"/>
        <v>0</v>
      </c>
      <c r="T263" s="105">
        <f t="shared" si="34"/>
        <v>0</v>
      </c>
      <c r="U263" s="105">
        <f t="shared" si="38"/>
        <v>67</v>
      </c>
      <c r="V263" s="105">
        <f t="shared" si="35"/>
        <v>0</v>
      </c>
    </row>
    <row r="264" spans="1:22" ht="56" x14ac:dyDescent="0.3">
      <c r="A264" s="4" t="str">
        <f>Questions!$A264</f>
        <v>PRPO-03</v>
      </c>
      <c r="B264" s="4" t="str">
        <f t="shared" si="36"/>
        <v>PRPO</v>
      </c>
      <c r="C264" s="4" t="str">
        <f>VLOOKUP($A264,Questions!$A$3:$L$333,2,0)&amp;""</f>
        <v>Will you comply with applicable breach notification laws?</v>
      </c>
      <c r="D264" s="4" t="str">
        <f>VLOOKUP($A264,Questions!$A$3:$L$333,11,0)&amp;""</f>
        <v/>
      </c>
      <c r="E264" s="4" t="str">
        <f>VLOOKUP($A264,Questions!$A$3:$L$333,12,0)&amp;""</f>
        <v>Privacy</v>
      </c>
      <c r="F264" s="4" t="str">
        <f>VLOOKUP($A264,'Privacy Analyst Evaluation'!$A$46:$K$120,3,0)&amp;""</f>
        <v>Yes</v>
      </c>
      <c r="G264" s="4" t="str">
        <f>VLOOKUP($A264,'Privacy Analyst Evaluation'!$A$46:$K$120,7,0)&amp;""</f>
        <v>Yes</v>
      </c>
      <c r="H264" s="4" t="str">
        <f>VLOOKUP($A264,'Privacy Analyst Evaluation'!$A$46:$K$120,8,0)&amp;""</f>
        <v/>
      </c>
      <c r="I264" s="4" t="str">
        <f>VLOOKUP($A264,'Privacy Analyst Evaluation'!$A$46:$K$120,9,0)&amp;""</f>
        <v>Standard Importance</v>
      </c>
      <c r="J264" s="4" t="str">
        <f>VLOOKUP($A264,'Privacy Analyst Evaluation'!$A$46:$K$120,10,0)&amp;""</f>
        <v/>
      </c>
      <c r="K264" s="4">
        <f>IF($I264='Auto Responses'!$J$11,20,IF($I264='Auto Responses'!$J$13,5,10))</f>
        <v>10</v>
      </c>
      <c r="L264" s="105">
        <f>IF($E264='Auto Responses'!$L$13, 'Auto Responses'!$J$5,IF(AND($D264='Auto Responses'!$J$27,$H264=""),'Auto Responses'!$J$5,IF(AND($D264='Auto Responses'!$J$27,$H264='Auto Responses'!$J$7),1,IF(AND($D264='Auto Responses'!$J$27,$H264='Auto Responses'!$J$8),0,IF(OR(AND($F264=$G264,$H264=""),$H264='Auto Responses'!$J$7),1,0)))))</f>
        <v>1</v>
      </c>
      <c r="M264" s="4" t="str">
        <f>VLOOKUP($A264,'Privacy Analyst Evaluation'!$A$46:$K$120,11,0)&amp;""</f>
        <v>FALSE</v>
      </c>
      <c r="N264" s="4">
        <f>IF($J264='Auto Responses'!$J$11,1,IF(AND($J264="",$I264='Auto Responses'!$J$11),1,0))</f>
        <v>0</v>
      </c>
      <c r="O264" s="105">
        <f>IF(OR($E264='Auto Responses'!$L$13,$F$24='Auto Responses'!$J$4,$F264='Auto Responses'!$J$5),'Auto Responses'!$J$5,IF($J264="",$K264,IF($J264='Auto Responses'!$J$13,5,IF($J264='Auto Responses'!$J$12,10,IF($J264='Auto Responses'!$J$11,20,0)))))</f>
        <v>10</v>
      </c>
      <c r="P264" s="105">
        <f>IF(OR($O264='Auto Responses'!$J$5,$L264='Auto Responses'!$J$5),'Auto Responses'!$J$5,$O264*$L264)</f>
        <v>10</v>
      </c>
      <c r="Q264" s="105">
        <f t="shared" si="32"/>
        <v>0</v>
      </c>
      <c r="R264" s="105">
        <f t="shared" si="37"/>
        <v>0</v>
      </c>
      <c r="S264" s="105">
        <f t="shared" si="33"/>
        <v>0</v>
      </c>
      <c r="T264" s="105">
        <f t="shared" si="34"/>
        <v>0</v>
      </c>
      <c r="U264" s="105">
        <f t="shared" si="38"/>
        <v>67</v>
      </c>
      <c r="V264" s="105">
        <f t="shared" si="35"/>
        <v>0</v>
      </c>
    </row>
    <row r="265" spans="1:22" ht="56" x14ac:dyDescent="0.3">
      <c r="A265" s="4" t="str">
        <f>Questions!$A265</f>
        <v>PRPO-04</v>
      </c>
      <c r="B265" s="4" t="str">
        <f t="shared" si="36"/>
        <v>PRPO</v>
      </c>
      <c r="C265" s="4" t="str">
        <f>VLOOKUP($A265,Questions!$A$3:$L$333,2,0)&amp;""</f>
        <v>Will you comply with the institution's policies regarding user privacy and data protection?</v>
      </c>
      <c r="D265" s="4" t="str">
        <f>VLOOKUP($A265,Questions!$A$3:$L$333,11,0)&amp;""</f>
        <v/>
      </c>
      <c r="E265" s="4" t="str">
        <f>VLOOKUP($A265,Questions!$A$3:$L$333,12,0)&amp;""</f>
        <v>Privacy</v>
      </c>
      <c r="F265" s="4" t="str">
        <f>VLOOKUP($A265,'Privacy Analyst Evaluation'!$A$46:$K$120,3,0)&amp;""</f>
        <v>Yes</v>
      </c>
      <c r="G265" s="4" t="str">
        <f>VLOOKUP($A265,'Privacy Analyst Evaluation'!$A$46:$K$120,7,0)&amp;""</f>
        <v>Yes</v>
      </c>
      <c r="H265" s="4" t="str">
        <f>VLOOKUP($A265,'Privacy Analyst Evaluation'!$A$46:$K$120,8,0)&amp;""</f>
        <v/>
      </c>
      <c r="I265" s="4" t="str">
        <f>VLOOKUP($A265,'Privacy Analyst Evaluation'!$A$46:$K$120,9,0)&amp;""</f>
        <v>Minor Importance</v>
      </c>
      <c r="J265" s="4" t="str">
        <f>VLOOKUP($A265,'Privacy Analyst Evaluation'!$A$46:$K$120,10,0)&amp;""</f>
        <v/>
      </c>
      <c r="K265" s="4">
        <f>IF($I265='Auto Responses'!$J$11,20,IF($I265='Auto Responses'!$J$13,5,10))</f>
        <v>5</v>
      </c>
      <c r="L265" s="105">
        <f>IF($E265='Auto Responses'!$L$13, 'Auto Responses'!$J$5,IF(AND($D265='Auto Responses'!$J$27,$H265=""),'Auto Responses'!$J$5,IF(AND($D265='Auto Responses'!$J$27,$H265='Auto Responses'!$J$7),1,IF(AND($D265='Auto Responses'!$J$27,$H265='Auto Responses'!$J$8),0,IF(OR(AND($F265=$G265,$H265=""),$H265='Auto Responses'!$J$7),1,0)))))</f>
        <v>1</v>
      </c>
      <c r="M265" s="4" t="str">
        <f>VLOOKUP($A265,'Privacy Analyst Evaluation'!$A$46:$K$120,11,0)&amp;""</f>
        <v>FALSE</v>
      </c>
      <c r="N265" s="4">
        <f>IF($J265='Auto Responses'!$J$11,1,IF(AND($J265="",$I265='Auto Responses'!$J$11),1,0))</f>
        <v>0</v>
      </c>
      <c r="O265" s="105">
        <f>IF(OR($E265='Auto Responses'!$L$13,$F$24='Auto Responses'!$J$4,$F265='Auto Responses'!$J$5),'Auto Responses'!$J$5,IF($J265="",$K265,IF($J265='Auto Responses'!$J$13,5,IF($J265='Auto Responses'!$J$12,10,IF($J265='Auto Responses'!$J$11,20,0)))))</f>
        <v>5</v>
      </c>
      <c r="P265" s="105">
        <f>IF(OR($O265='Auto Responses'!$J$5,$L265='Auto Responses'!$J$5),'Auto Responses'!$J$5,$O265*$L265)</f>
        <v>5</v>
      </c>
      <c r="Q265" s="105">
        <f t="shared" si="32"/>
        <v>0</v>
      </c>
      <c r="R265" s="105">
        <f t="shared" si="37"/>
        <v>0</v>
      </c>
      <c r="S265" s="105">
        <f t="shared" si="33"/>
        <v>0</v>
      </c>
      <c r="T265" s="105">
        <f t="shared" si="34"/>
        <v>0</v>
      </c>
      <c r="U265" s="105">
        <f t="shared" si="38"/>
        <v>67</v>
      </c>
      <c r="V265" s="105">
        <f t="shared" si="35"/>
        <v>0</v>
      </c>
    </row>
    <row r="266" spans="1:22" ht="56" x14ac:dyDescent="0.3">
      <c r="A266" s="4" t="str">
        <f>Questions!$A266</f>
        <v>PRPO-05</v>
      </c>
      <c r="B266" s="4" t="str">
        <f t="shared" si="36"/>
        <v>PRPO</v>
      </c>
      <c r="C266" s="4" t="str">
        <f>VLOOKUP($A266,Questions!$A$3:$L$333,2,0)&amp;""</f>
        <v>Is your company subject to the laws and regulations of the institution's geographic region?</v>
      </c>
      <c r="D266" s="4" t="str">
        <f>VLOOKUP($A266,Questions!$A$3:$L$333,11,0)&amp;""</f>
        <v/>
      </c>
      <c r="E266" s="4" t="str">
        <f>VLOOKUP($A266,Questions!$A$3:$L$333,12,0)&amp;""</f>
        <v>Privacy</v>
      </c>
      <c r="F266" s="4" t="str">
        <f>VLOOKUP($A266,'Privacy Analyst Evaluation'!$A$46:$K$120,3,0)&amp;""</f>
        <v>Yes</v>
      </c>
      <c r="G266" s="4" t="str">
        <f>VLOOKUP($A266,'Privacy Analyst Evaluation'!$A$46:$K$120,7,0)&amp;""</f>
        <v>Yes</v>
      </c>
      <c r="H266" s="4" t="str">
        <f>VLOOKUP($A266,'Privacy Analyst Evaluation'!$A$46:$K$120,8,0)&amp;""</f>
        <v/>
      </c>
      <c r="I266" s="4" t="str">
        <f>VLOOKUP($A266,'Privacy Analyst Evaluation'!$A$46:$K$120,9,0)&amp;""</f>
        <v>Minor Importance</v>
      </c>
      <c r="J266" s="4" t="str">
        <f>VLOOKUP($A266,'Privacy Analyst Evaluation'!$A$46:$K$120,10,0)&amp;""</f>
        <v/>
      </c>
      <c r="K266" s="4">
        <f>IF($I266='Auto Responses'!$J$11,20,IF($I266='Auto Responses'!$J$13,5,10))</f>
        <v>5</v>
      </c>
      <c r="L266" s="105">
        <f>IF($E266='Auto Responses'!$L$13, 'Auto Responses'!$J$5,IF(AND($D266='Auto Responses'!$J$27,$H266=""),'Auto Responses'!$J$5,IF(AND($D266='Auto Responses'!$J$27,$H266='Auto Responses'!$J$7),1,IF(AND($D266='Auto Responses'!$J$27,$H266='Auto Responses'!$J$8),0,IF(OR(AND($F266=$G266,$H266=""),$H266='Auto Responses'!$J$7),1,0)))))</f>
        <v>1</v>
      </c>
      <c r="M266" s="4" t="str">
        <f>VLOOKUP($A266,'Privacy Analyst Evaluation'!$A$46:$K$120,11,0)&amp;""</f>
        <v>FALSE</v>
      </c>
      <c r="N266" s="4">
        <f>IF($J266='Auto Responses'!$J$11,1,IF(AND($J266="",$I266='Auto Responses'!$J$11),1,0))</f>
        <v>0</v>
      </c>
      <c r="O266" s="105">
        <f>IF(OR($E266='Auto Responses'!$L$13,$F$24='Auto Responses'!$J$4,$F266='Auto Responses'!$J$5),'Auto Responses'!$J$5,IF($J266="",$K266,IF($J266='Auto Responses'!$J$13,5,IF($J266='Auto Responses'!$J$12,10,IF($J266='Auto Responses'!$J$11,20,0)))))</f>
        <v>5</v>
      </c>
      <c r="P266" s="105">
        <f>IF(OR($O266='Auto Responses'!$J$5,$L266='Auto Responses'!$J$5),'Auto Responses'!$J$5,$O266*$L266)</f>
        <v>5</v>
      </c>
      <c r="Q266" s="105">
        <f t="shared" si="32"/>
        <v>0</v>
      </c>
      <c r="R266" s="105">
        <f t="shared" si="37"/>
        <v>0</v>
      </c>
      <c r="S266" s="105">
        <f t="shared" si="33"/>
        <v>0</v>
      </c>
      <c r="T266" s="105">
        <f t="shared" si="34"/>
        <v>0</v>
      </c>
      <c r="U266" s="105">
        <f t="shared" si="38"/>
        <v>67</v>
      </c>
      <c r="V266" s="105">
        <f t="shared" si="35"/>
        <v>0</v>
      </c>
    </row>
    <row r="267" spans="1:22" ht="56" x14ac:dyDescent="0.3">
      <c r="A267" s="4" t="str">
        <f>Questions!$A267</f>
        <v>PRPO-06</v>
      </c>
      <c r="B267" s="4" t="str">
        <f t="shared" si="36"/>
        <v>PRPO</v>
      </c>
      <c r="C267" s="4" t="str">
        <f>VLOOKUP($A267,Questions!$A$3:$L$333,2,0)&amp;""</f>
        <v>Do you have a privacy awareness/training program?*</v>
      </c>
      <c r="D267" s="4" t="str">
        <f>VLOOKUP($A267,Questions!$A$3:$L$333,11,0)&amp;""</f>
        <v/>
      </c>
      <c r="E267" s="4" t="str">
        <f>VLOOKUP($A267,Questions!$A$3:$L$333,12,0)&amp;""</f>
        <v>Privacy</v>
      </c>
      <c r="F267" s="4" t="str">
        <f>VLOOKUP($A267,'Privacy Analyst Evaluation'!$A$46:$K$120,3,0)&amp;""</f>
        <v>Yes</v>
      </c>
      <c r="G267" s="4" t="str">
        <f>VLOOKUP($A267,'Privacy Analyst Evaluation'!$A$46:$K$120,7,0)&amp;""</f>
        <v>Yes</v>
      </c>
      <c r="H267" s="4" t="str">
        <f>VLOOKUP($A267,'Privacy Analyst Evaluation'!$A$46:$K$120,8,0)&amp;""</f>
        <v/>
      </c>
      <c r="I267" s="4" t="str">
        <f>VLOOKUP($A267,'Privacy Analyst Evaluation'!$A$46:$K$120,9,0)&amp;""</f>
        <v>Critical Importance</v>
      </c>
      <c r="J267" s="4" t="str">
        <f>VLOOKUP($A267,'Privacy Analyst Evaluation'!$A$46:$K$120,10,0)&amp;""</f>
        <v/>
      </c>
      <c r="K267" s="4">
        <f>IF($I267='Auto Responses'!$J$11,20,IF($I267='Auto Responses'!$J$13,5,10))</f>
        <v>20</v>
      </c>
      <c r="L267" s="105">
        <f>IF($E267='Auto Responses'!$L$13, 'Auto Responses'!$J$5,IF(AND($D267='Auto Responses'!$J$27,$H267=""),'Auto Responses'!$J$5,IF(AND($D267='Auto Responses'!$J$27,$H267='Auto Responses'!$J$7),1,IF(AND($D267='Auto Responses'!$J$27,$H267='Auto Responses'!$J$8),0,IF(OR(AND($F267=$G267,$H267=""),$H267='Auto Responses'!$J$7),1,0)))))</f>
        <v>1</v>
      </c>
      <c r="M267" s="4" t="str">
        <f>VLOOKUP($A267,'Privacy Analyst Evaluation'!$A$46:$K$120,11,0)&amp;""</f>
        <v>FALSE</v>
      </c>
      <c r="N267" s="4">
        <f>IF($J267='Auto Responses'!$J$11,1,IF(AND($J267="",$I267='Auto Responses'!$J$11),1,0))</f>
        <v>1</v>
      </c>
      <c r="O267" s="105">
        <f>IF(OR($E267='Auto Responses'!$L$13,$F$24='Auto Responses'!$J$4,$F267='Auto Responses'!$J$5),'Auto Responses'!$J$5,IF($J267="",$K267,IF($J267='Auto Responses'!$J$13,5,IF($J267='Auto Responses'!$J$12,10,IF($J267='Auto Responses'!$J$11,20,0)))))</f>
        <v>20</v>
      </c>
      <c r="P267" s="105">
        <f>IF(OR($O267='Auto Responses'!$J$5,$L267='Auto Responses'!$J$5),'Auto Responses'!$J$5,$O267*$L267)</f>
        <v>20</v>
      </c>
      <c r="Q267" s="105">
        <f t="shared" si="32"/>
        <v>0</v>
      </c>
      <c r="R267" s="105">
        <f t="shared" si="37"/>
        <v>0</v>
      </c>
      <c r="S267" s="105">
        <f t="shared" si="33"/>
        <v>0</v>
      </c>
      <c r="T267" s="105">
        <f t="shared" si="34"/>
        <v>1</v>
      </c>
      <c r="U267" s="105">
        <f t="shared" si="38"/>
        <v>68</v>
      </c>
      <c r="V267" s="105">
        <f t="shared" si="35"/>
        <v>68</v>
      </c>
    </row>
    <row r="268" spans="1:22" ht="56" x14ac:dyDescent="0.3">
      <c r="A268" s="4" t="str">
        <f>Questions!$A268</f>
        <v>PRPO-07</v>
      </c>
      <c r="B268" s="4" t="str">
        <f t="shared" si="36"/>
        <v>PRPO</v>
      </c>
      <c r="C268" s="4" t="str">
        <f>VLOOKUP($A268,Questions!$A$3:$L$333,2,0)&amp;""</f>
        <v>Is privacy awareness training mandatory for all employees?</v>
      </c>
      <c r="D268" s="4" t="str">
        <f>VLOOKUP($A268,Questions!$A$3:$L$333,11,0)&amp;""</f>
        <v/>
      </c>
      <c r="E268" s="4" t="str">
        <f>VLOOKUP($A268,Questions!$A$3:$L$333,12,0)&amp;""</f>
        <v>Privacy</v>
      </c>
      <c r="F268" s="4" t="str">
        <f>VLOOKUP($A268,'Privacy Analyst Evaluation'!$A$46:$K$120,3,0)&amp;""</f>
        <v>Yes</v>
      </c>
      <c r="G268" s="4" t="str">
        <f>VLOOKUP($A268,'Privacy Analyst Evaluation'!$A$46:$K$120,7,0)&amp;""</f>
        <v>Yes</v>
      </c>
      <c r="H268" s="4" t="str">
        <f>VLOOKUP($A268,'Privacy Analyst Evaluation'!$A$46:$K$120,8,0)&amp;""</f>
        <v/>
      </c>
      <c r="I268" s="4" t="str">
        <f>VLOOKUP($A268,'Privacy Analyst Evaluation'!$A$46:$K$120,9,0)&amp;""</f>
        <v>Minor Importance</v>
      </c>
      <c r="J268" s="4" t="str">
        <f>VLOOKUP($A268,'Privacy Analyst Evaluation'!$A$46:$K$120,10,0)&amp;""</f>
        <v/>
      </c>
      <c r="K268" s="4">
        <f>IF($I268='Auto Responses'!$J$11,20,IF($I268='Auto Responses'!$J$13,5,10))</f>
        <v>5</v>
      </c>
      <c r="L268" s="105">
        <f>IF($E268='Auto Responses'!$L$13, 'Auto Responses'!$J$5,IF(AND($D268='Auto Responses'!$J$27,$H268=""),'Auto Responses'!$J$5,IF(AND($D268='Auto Responses'!$J$27,$H268='Auto Responses'!$J$7),1,IF(AND($D268='Auto Responses'!$J$27,$H268='Auto Responses'!$J$8),0,IF(OR(AND($F268=$G268,$H268=""),$H268='Auto Responses'!$J$7),1,0)))))</f>
        <v>1</v>
      </c>
      <c r="M268" s="4" t="str">
        <f>VLOOKUP($A268,'Privacy Analyst Evaluation'!$A$46:$K$120,11,0)&amp;""</f>
        <v>FALSE</v>
      </c>
      <c r="N268" s="4">
        <f>IF($J268='Auto Responses'!$J$11,1,IF(AND($J268="",$I268='Auto Responses'!$J$11),1,0))</f>
        <v>0</v>
      </c>
      <c r="O268" s="105">
        <f>IF(OR($E268='Auto Responses'!$L$13,$F$24='Auto Responses'!$J$4,$F268='Auto Responses'!$J$5),'Auto Responses'!$J$5,IF($J268="",$K268,IF($J268='Auto Responses'!$J$13,5,IF($J268='Auto Responses'!$J$12,10,IF($J268='Auto Responses'!$J$11,20,0)))))</f>
        <v>5</v>
      </c>
      <c r="P268" s="105">
        <f>IF(OR($O268='Auto Responses'!$J$5,$L268='Auto Responses'!$J$5),'Auto Responses'!$J$5,$O268*$L268)</f>
        <v>5</v>
      </c>
      <c r="Q268" s="105">
        <f t="shared" si="32"/>
        <v>0</v>
      </c>
      <c r="R268" s="105">
        <f t="shared" si="37"/>
        <v>0</v>
      </c>
      <c r="S268" s="105">
        <f t="shared" si="33"/>
        <v>0</v>
      </c>
      <c r="T268" s="105">
        <f t="shared" si="34"/>
        <v>0</v>
      </c>
      <c r="U268" s="105">
        <f t="shared" si="38"/>
        <v>68</v>
      </c>
      <c r="V268" s="105">
        <f t="shared" si="35"/>
        <v>0</v>
      </c>
    </row>
    <row r="269" spans="1:22" ht="56" x14ac:dyDescent="0.3">
      <c r="A269" s="4" t="str">
        <f>Questions!$A269</f>
        <v>PRPO-08</v>
      </c>
      <c r="B269" s="4" t="str">
        <f t="shared" si="36"/>
        <v>PRPO</v>
      </c>
      <c r="C269" s="4" t="str">
        <f>VLOOKUP($A269,Questions!$A$3:$L$333,2,0)&amp;""</f>
        <v>Is AI privacy and ethics awareness/training required for all employees who work with AI?</v>
      </c>
      <c r="D269" s="4" t="str">
        <f>VLOOKUP($A269,Questions!$A$3:$L$333,11,0)&amp;""</f>
        <v/>
      </c>
      <c r="E269" s="4" t="str">
        <f>VLOOKUP($A269,Questions!$A$3:$L$333,12,0)&amp;""</f>
        <v>Privacy</v>
      </c>
      <c r="F269" s="4" t="str">
        <f>VLOOKUP($A269,'Privacy Analyst Evaluation'!$A$46:$K$120,3,0)&amp;""</f>
        <v>Yes</v>
      </c>
      <c r="G269" s="4" t="str">
        <f>VLOOKUP($A269,'Privacy Analyst Evaluation'!$A$46:$K$120,7,0)&amp;""</f>
        <v>Yes</v>
      </c>
      <c r="H269" s="4" t="str">
        <f>VLOOKUP($A269,'Privacy Analyst Evaluation'!$A$46:$K$120,8,0)&amp;""</f>
        <v/>
      </c>
      <c r="I269" s="4" t="str">
        <f>VLOOKUP($A269,'Privacy Analyst Evaluation'!$A$46:$K$120,9,0)&amp;""</f>
        <v>Minor Importance</v>
      </c>
      <c r="J269" s="4" t="str">
        <f>VLOOKUP($A269,'Privacy Analyst Evaluation'!$A$46:$K$120,10,0)&amp;""</f>
        <v/>
      </c>
      <c r="K269" s="4">
        <f>IF($I269='Auto Responses'!$J$11,20,IF($I269='Auto Responses'!$J$13,5,10))</f>
        <v>5</v>
      </c>
      <c r="L269" s="105">
        <f>IF($E269='Auto Responses'!$L$13, 'Auto Responses'!$J$5,IF(AND($D269='Auto Responses'!$J$27,$H269=""),'Auto Responses'!$J$5,IF(AND($D269='Auto Responses'!$J$27,$H269='Auto Responses'!$J$7),1,IF(AND($D269='Auto Responses'!$J$27,$H269='Auto Responses'!$J$8),0,IF(OR(AND($F269=$G269,$H269=""),$H269='Auto Responses'!$J$7),1,0)))))</f>
        <v>1</v>
      </c>
      <c r="M269" s="4" t="str">
        <f>VLOOKUP($A269,'Privacy Analyst Evaluation'!$A$46:$K$120,11,0)&amp;""</f>
        <v>FALSE</v>
      </c>
      <c r="N269" s="4">
        <f>IF($J269='Auto Responses'!$J$11,1,IF(AND($J269="",$I269='Auto Responses'!$J$11),1,0))</f>
        <v>0</v>
      </c>
      <c r="O269" s="105">
        <f>IF(OR($E269='Auto Responses'!$L$13,$F$24='Auto Responses'!$J$4,$F269='Auto Responses'!$J$5),'Auto Responses'!$J$5,IF($J269="",$K269,IF($J269='Auto Responses'!$J$13,5,IF($J269='Auto Responses'!$J$12,10,IF($J269='Auto Responses'!$J$11,20,0)))))</f>
        <v>5</v>
      </c>
      <c r="P269" s="105">
        <f>IF(OR($O269='Auto Responses'!$J$5,$L269='Auto Responses'!$J$5),'Auto Responses'!$J$5,$O269*$L269)</f>
        <v>5</v>
      </c>
      <c r="Q269" s="105">
        <f t="shared" si="32"/>
        <v>0</v>
      </c>
      <c r="R269" s="105">
        <f t="shared" si="37"/>
        <v>0</v>
      </c>
      <c r="S269" s="105">
        <f t="shared" si="33"/>
        <v>0</v>
      </c>
      <c r="T269" s="105">
        <f t="shared" si="34"/>
        <v>0</v>
      </c>
      <c r="U269" s="105">
        <f t="shared" si="38"/>
        <v>68</v>
      </c>
      <c r="V269" s="105">
        <f t="shared" si="35"/>
        <v>0</v>
      </c>
    </row>
    <row r="270" spans="1:22" ht="56" x14ac:dyDescent="0.3">
      <c r="A270" s="4" t="str">
        <f>Questions!$A270</f>
        <v>PRPO-09</v>
      </c>
      <c r="B270" s="4" t="str">
        <f t="shared" si="36"/>
        <v>PRPO</v>
      </c>
      <c r="C270" s="4" t="str">
        <f>VLOOKUP($A270,Questions!$A$3:$L$333,2,0)&amp;""</f>
        <v>Do you have any decision-making processes that are completely automated (i.e., there is no human involvement)?</v>
      </c>
      <c r="D270" s="4" t="str">
        <f>VLOOKUP($A270,Questions!$A$3:$L$333,11,0)&amp;""</f>
        <v/>
      </c>
      <c r="E270" s="4" t="str">
        <f>VLOOKUP($A270,Questions!$A$3:$L$333,12,0)&amp;""</f>
        <v>Privacy</v>
      </c>
      <c r="F270" s="4" t="str">
        <f>VLOOKUP($A270,'Privacy Analyst Evaluation'!$A$46:$K$120,3,0)&amp;""</f>
        <v>No</v>
      </c>
      <c r="G270" s="4" t="str">
        <f>VLOOKUP($A270,'Privacy Analyst Evaluation'!$A$46:$K$120,7,0)&amp;""</f>
        <v>No</v>
      </c>
      <c r="H270" s="4" t="str">
        <f>VLOOKUP($A270,'Privacy Analyst Evaluation'!$A$46:$K$120,8,0)&amp;""</f>
        <v/>
      </c>
      <c r="I270" s="4" t="str">
        <f>VLOOKUP($A270,'Privacy Analyst Evaluation'!$A$46:$K$120,9,0)&amp;""</f>
        <v>Minor Importance</v>
      </c>
      <c r="J270" s="4" t="str">
        <f>VLOOKUP($A270,'Privacy Analyst Evaluation'!$A$46:$K$120,10,0)&amp;""</f>
        <v/>
      </c>
      <c r="K270" s="4">
        <f>IF($I270='Auto Responses'!$J$11,20,IF($I270='Auto Responses'!$J$13,5,10))</f>
        <v>5</v>
      </c>
      <c r="L270" s="105">
        <f>IF($E270='Auto Responses'!$L$13, 'Auto Responses'!$J$5,IF(AND($D270='Auto Responses'!$J$27,$H270=""),'Auto Responses'!$J$5,IF(AND($D270='Auto Responses'!$J$27,$H270='Auto Responses'!$J$7),1,IF(AND($D270='Auto Responses'!$J$27,$H270='Auto Responses'!$J$8),0,IF(OR(AND($F270=$G270,$H270=""),$H270='Auto Responses'!$J$7),1,0)))))</f>
        <v>1</v>
      </c>
      <c r="M270" s="4" t="str">
        <f>VLOOKUP($A270,'Privacy Analyst Evaluation'!$A$46:$K$120,11,0)&amp;""</f>
        <v>FALSE</v>
      </c>
      <c r="N270" s="4">
        <f>IF($J270='Auto Responses'!$J$11,1,IF(AND($J270="",$I270='Auto Responses'!$J$11),1,0))</f>
        <v>0</v>
      </c>
      <c r="O270" s="105">
        <f>IF(OR($E270='Auto Responses'!$L$13,$F$24='Auto Responses'!$J$4,$F270='Auto Responses'!$J$5),'Auto Responses'!$J$5,IF($J270="",$K270,IF($J270='Auto Responses'!$J$13,5,IF($J270='Auto Responses'!$J$12,10,IF($J270='Auto Responses'!$J$11,20,0)))))</f>
        <v>5</v>
      </c>
      <c r="P270" s="105">
        <f>IF(OR($O270='Auto Responses'!$J$5,$L270='Auto Responses'!$J$5),'Auto Responses'!$J$5,$O270*$L270)</f>
        <v>5</v>
      </c>
      <c r="Q270" s="105">
        <f t="shared" si="32"/>
        <v>0</v>
      </c>
      <c r="R270" s="105">
        <f t="shared" si="37"/>
        <v>0</v>
      </c>
      <c r="S270" s="105">
        <f t="shared" si="33"/>
        <v>0</v>
      </c>
      <c r="T270" s="105">
        <f t="shared" si="34"/>
        <v>0</v>
      </c>
      <c r="U270" s="105">
        <f t="shared" si="38"/>
        <v>68</v>
      </c>
      <c r="V270" s="105">
        <f t="shared" si="35"/>
        <v>0</v>
      </c>
    </row>
    <row r="271" spans="1:22" ht="56" x14ac:dyDescent="0.3">
      <c r="A271" s="4" t="str">
        <f>Questions!$A271</f>
        <v>PRPO-10</v>
      </c>
      <c r="B271" s="4" t="str">
        <f t="shared" si="36"/>
        <v>PRPO</v>
      </c>
      <c r="C271" s="4" t="str">
        <f>VLOOKUP($A271,Questions!$A$3:$L$333,2,0)&amp;""</f>
        <v>Do you have a documented process for managing automated processing, including validations, monitoring, and data subject requests?</v>
      </c>
      <c r="D271" s="4" t="str">
        <f>VLOOKUP($A271,Questions!$A$3:$L$333,11,0)&amp;""</f>
        <v/>
      </c>
      <c r="E271" s="4" t="str">
        <f>VLOOKUP($A271,Questions!$A$3:$L$333,12,0)&amp;""</f>
        <v>Privacy</v>
      </c>
      <c r="F271" s="4" t="str">
        <f>VLOOKUP($A271,'Privacy Analyst Evaluation'!$A$46:$K$120,3,0)&amp;""</f>
        <v>Yes</v>
      </c>
      <c r="G271" s="4" t="str">
        <f>VLOOKUP($A271,'Privacy Analyst Evaluation'!$A$46:$K$120,7,0)&amp;""</f>
        <v>Yes</v>
      </c>
      <c r="H271" s="4" t="str">
        <f>VLOOKUP($A271,'Privacy Analyst Evaluation'!$A$46:$K$120,8,0)&amp;""</f>
        <v/>
      </c>
      <c r="I271" s="4" t="str">
        <f>VLOOKUP($A271,'Privacy Analyst Evaluation'!$A$46:$K$120,9,0)&amp;""</f>
        <v>Minor Importance</v>
      </c>
      <c r="J271" s="4" t="str">
        <f>VLOOKUP($A271,'Privacy Analyst Evaluation'!$A$46:$K$120,10,0)&amp;""</f>
        <v/>
      </c>
      <c r="K271" s="4">
        <f>IF($I271='Auto Responses'!$J$11,20,IF($I271='Auto Responses'!$J$13,5,10))</f>
        <v>5</v>
      </c>
      <c r="L271" s="105">
        <f>IF($E271='Auto Responses'!$L$13, 'Auto Responses'!$J$5,IF(AND($D271='Auto Responses'!$J$27,$H271=""),'Auto Responses'!$J$5,IF(AND($D271='Auto Responses'!$J$27,$H271='Auto Responses'!$J$7),1,IF(AND($D271='Auto Responses'!$J$27,$H271='Auto Responses'!$J$8),0,IF(OR(AND($F271=$G271,$H271=""),$H271='Auto Responses'!$J$7),1,0)))))</f>
        <v>1</v>
      </c>
      <c r="M271" s="4" t="str">
        <f>VLOOKUP($A271,'Privacy Analyst Evaluation'!$A$46:$K$120,11,0)&amp;""</f>
        <v>FALSE</v>
      </c>
      <c r="N271" s="4">
        <f>IF($J271='Auto Responses'!$J$11,1,IF(AND($J271="",$I271='Auto Responses'!$J$11),1,0))</f>
        <v>0</v>
      </c>
      <c r="O271" s="105">
        <f>IF(OR($E271='Auto Responses'!$L$13,$F$24='Auto Responses'!$J$4,$F271='Auto Responses'!$J$5),'Auto Responses'!$J$5,IF($J271="",$K271,IF($J271='Auto Responses'!$J$13,5,IF($J271='Auto Responses'!$J$12,10,IF($J271='Auto Responses'!$J$11,20,0)))))</f>
        <v>5</v>
      </c>
      <c r="P271" s="105">
        <f>IF(OR($O271='Auto Responses'!$J$5,$L271='Auto Responses'!$J$5),'Auto Responses'!$J$5,$O271*$L271)</f>
        <v>5</v>
      </c>
      <c r="Q271" s="105">
        <f t="shared" si="32"/>
        <v>0</v>
      </c>
      <c r="R271" s="105">
        <f t="shared" si="37"/>
        <v>0</v>
      </c>
      <c r="S271" s="105">
        <f t="shared" si="33"/>
        <v>0</v>
      </c>
      <c r="T271" s="105">
        <f t="shared" si="34"/>
        <v>0</v>
      </c>
      <c r="U271" s="105">
        <f t="shared" si="38"/>
        <v>68</v>
      </c>
      <c r="V271" s="105">
        <f t="shared" si="35"/>
        <v>0</v>
      </c>
    </row>
    <row r="272" spans="1:22" ht="56" x14ac:dyDescent="0.3">
      <c r="A272" s="4" t="str">
        <f>Questions!$A272</f>
        <v>PRPO-11</v>
      </c>
      <c r="B272" s="4" t="str">
        <f t="shared" si="36"/>
        <v>PRPO</v>
      </c>
      <c r="C272" s="4" t="str">
        <f>VLOOKUP($A272,Questions!$A$3:$L$333,2,0)&amp;""</f>
        <v>Do you have a documented policy for sharing information with law enforcement?</v>
      </c>
      <c r="D272" s="4" t="str">
        <f>VLOOKUP($A272,Questions!$A$3:$L$333,11,0)&amp;""</f>
        <v/>
      </c>
      <c r="E272" s="4" t="str">
        <f>VLOOKUP($A272,Questions!$A$3:$L$333,12,0)&amp;""</f>
        <v>Privacy</v>
      </c>
      <c r="F272" s="4" t="str">
        <f>VLOOKUP($A272,'Privacy Analyst Evaluation'!$A$46:$K$120,3,0)&amp;""</f>
        <v>Yes</v>
      </c>
      <c r="G272" s="4" t="str">
        <f>VLOOKUP($A272,'Privacy Analyst Evaluation'!$A$46:$K$120,7,0)&amp;""</f>
        <v>Yes</v>
      </c>
      <c r="H272" s="4" t="str">
        <f>VLOOKUP($A272,'Privacy Analyst Evaluation'!$A$46:$K$120,8,0)&amp;""</f>
        <v/>
      </c>
      <c r="I272" s="4" t="str">
        <f>VLOOKUP($A272,'Privacy Analyst Evaluation'!$A$46:$K$120,9,0)&amp;""</f>
        <v>Minor Importance</v>
      </c>
      <c r="J272" s="4" t="str">
        <f>VLOOKUP($A272,'Privacy Analyst Evaluation'!$A$46:$K$120,10,0)&amp;""</f>
        <v/>
      </c>
      <c r="K272" s="4">
        <f>IF($I272='Auto Responses'!$J$11,20,IF($I272='Auto Responses'!$J$13,5,10))</f>
        <v>5</v>
      </c>
      <c r="L272" s="105">
        <f>IF($E272='Auto Responses'!$L$13, 'Auto Responses'!$J$5,IF(AND($D272='Auto Responses'!$J$27,$H272=""),'Auto Responses'!$J$5,IF(AND($D272='Auto Responses'!$J$27,$H272='Auto Responses'!$J$7),1,IF(AND($D272='Auto Responses'!$J$27,$H272='Auto Responses'!$J$8),0,IF(OR(AND($F272=$G272,$H272=""),$H272='Auto Responses'!$J$7),1,0)))))</f>
        <v>1</v>
      </c>
      <c r="M272" s="4" t="str">
        <f>VLOOKUP($A272,'Privacy Analyst Evaluation'!$A$46:$K$120,11,0)&amp;""</f>
        <v>FALSE</v>
      </c>
      <c r="N272" s="4">
        <f>IF($J272='Auto Responses'!$J$11,1,IF(AND($J272="",$I272='Auto Responses'!$J$11),1,0))</f>
        <v>0</v>
      </c>
      <c r="O272" s="105">
        <f>IF(OR($E272='Auto Responses'!$L$13,$F$24='Auto Responses'!$J$4,$F272='Auto Responses'!$J$5),'Auto Responses'!$J$5,IF($J272="",$K272,IF($J272='Auto Responses'!$J$13,5,IF($J272='Auto Responses'!$J$12,10,IF($J272='Auto Responses'!$J$11,20,0)))))</f>
        <v>5</v>
      </c>
      <c r="P272" s="105">
        <f>IF(OR($O272='Auto Responses'!$J$5,$L272='Auto Responses'!$J$5),'Auto Responses'!$J$5,$O272*$L272)</f>
        <v>5</v>
      </c>
      <c r="Q272" s="105">
        <f t="shared" si="32"/>
        <v>0</v>
      </c>
      <c r="R272" s="105">
        <f t="shared" si="37"/>
        <v>0</v>
      </c>
      <c r="S272" s="105">
        <f t="shared" si="33"/>
        <v>0</v>
      </c>
      <c r="T272" s="105">
        <f t="shared" si="34"/>
        <v>0</v>
      </c>
      <c r="U272" s="105">
        <f t="shared" si="38"/>
        <v>68</v>
      </c>
      <c r="V272" s="105">
        <f t="shared" si="35"/>
        <v>0</v>
      </c>
    </row>
    <row r="273" spans="1:22" ht="56" x14ac:dyDescent="0.3">
      <c r="A273" s="4" t="str">
        <f>Questions!$A273</f>
        <v>PRPO-12</v>
      </c>
      <c r="B273" s="4" t="str">
        <f t="shared" si="36"/>
        <v>PRPO</v>
      </c>
      <c r="C273" s="4" t="str">
        <f>VLOOKUP($A273,Questions!$A$3:$L$333,2,0)&amp;""</f>
        <v>Do you share any institutional data with law enforcement without a valid warrant or subpoena?*</v>
      </c>
      <c r="D273" s="4" t="str">
        <f>VLOOKUP($A273,Questions!$A$3:$L$333,11,0)&amp;""</f>
        <v/>
      </c>
      <c r="E273" s="4" t="str">
        <f>VLOOKUP($A273,Questions!$A$3:$L$333,12,0)&amp;""</f>
        <v>Privacy</v>
      </c>
      <c r="F273" s="4" t="str">
        <f>VLOOKUP($A273,'Privacy Analyst Evaluation'!$A$46:$K$120,3,0)&amp;""</f>
        <v>No</v>
      </c>
      <c r="G273" s="4" t="str">
        <f>VLOOKUP($A273,'Privacy Analyst Evaluation'!$A$46:$K$120,7,0)&amp;""</f>
        <v>No</v>
      </c>
      <c r="H273" s="4" t="str">
        <f>VLOOKUP($A273,'Privacy Analyst Evaluation'!$A$46:$K$120,8,0)&amp;""</f>
        <v/>
      </c>
      <c r="I273" s="4" t="str">
        <f>VLOOKUP($A273,'Privacy Analyst Evaluation'!$A$46:$K$120,9,0)&amp;""</f>
        <v>Critical Importance</v>
      </c>
      <c r="J273" s="4" t="str">
        <f>VLOOKUP($A273,'Privacy Analyst Evaluation'!$A$46:$K$120,10,0)&amp;""</f>
        <v/>
      </c>
      <c r="K273" s="4">
        <f>IF($I273='Auto Responses'!$J$11,20,IF($I273='Auto Responses'!$J$13,5,10))</f>
        <v>20</v>
      </c>
      <c r="L273" s="105">
        <f>IF($E273='Auto Responses'!$L$13, 'Auto Responses'!$J$5,IF(AND($D273='Auto Responses'!$J$27,$H273=""),'Auto Responses'!$J$5,IF(AND($D273='Auto Responses'!$J$27,$H273='Auto Responses'!$J$7),1,IF(AND($D273='Auto Responses'!$J$27,$H273='Auto Responses'!$J$8),0,IF(OR(AND($F273=$G273,$H273=""),$H273='Auto Responses'!$J$7),1,0)))))</f>
        <v>1</v>
      </c>
      <c r="M273" s="4" t="str">
        <f>VLOOKUP($A273,'Privacy Analyst Evaluation'!$A$46:$K$120,11,0)&amp;""</f>
        <v>FALSE</v>
      </c>
      <c r="N273" s="4">
        <f>IF($J273='Auto Responses'!$J$11,1,IF(AND($J273="",$I273='Auto Responses'!$J$11),1,0))</f>
        <v>1</v>
      </c>
      <c r="O273" s="105">
        <f>IF(OR($E273='Auto Responses'!$L$13,$F$24='Auto Responses'!$J$4,$F273='Auto Responses'!$J$5),'Auto Responses'!$J$5,IF($J273="",$K273,IF($J273='Auto Responses'!$J$13,5,IF($J273='Auto Responses'!$J$12,10,IF($J273='Auto Responses'!$J$11,20,0)))))</f>
        <v>20</v>
      </c>
      <c r="P273" s="105">
        <f>IF(OR($O273='Auto Responses'!$J$5,$L273='Auto Responses'!$J$5),'Auto Responses'!$J$5,$O273*$L273)</f>
        <v>20</v>
      </c>
      <c r="Q273" s="105">
        <f t="shared" si="32"/>
        <v>0</v>
      </c>
      <c r="R273" s="105">
        <f t="shared" si="37"/>
        <v>0</v>
      </c>
      <c r="S273" s="105">
        <f t="shared" si="33"/>
        <v>0</v>
      </c>
      <c r="T273" s="105">
        <f t="shared" si="34"/>
        <v>1</v>
      </c>
      <c r="U273" s="105">
        <f t="shared" si="38"/>
        <v>69</v>
      </c>
      <c r="V273" s="105">
        <f t="shared" si="35"/>
        <v>69</v>
      </c>
    </row>
    <row r="274" spans="1:22" ht="56" x14ac:dyDescent="0.3">
      <c r="A274" s="4" t="str">
        <f>Questions!$A274</f>
        <v>PRPO-13</v>
      </c>
      <c r="B274" s="4" t="str">
        <f t="shared" si="36"/>
        <v>PRPO</v>
      </c>
      <c r="C274" s="4" t="str">
        <f>VLOOKUP($A274,Questions!$A$3:$L$333,2,0)&amp;""</f>
        <v>Does your incident response team include a privacy analyst/officer?</v>
      </c>
      <c r="D274" s="4" t="str">
        <f>VLOOKUP($A274,Questions!$A$3:$L$333,11,0)&amp;""</f>
        <v/>
      </c>
      <c r="E274" s="4" t="str">
        <f>VLOOKUP($A274,Questions!$A$3:$L$333,12,0)&amp;""</f>
        <v>Privacy</v>
      </c>
      <c r="F274" s="4" t="str">
        <f>VLOOKUP($A274,'Privacy Analyst Evaluation'!$A$46:$K$120,3,0)&amp;""</f>
        <v>Yes</v>
      </c>
      <c r="G274" s="4" t="str">
        <f>VLOOKUP($A274,'Privacy Analyst Evaluation'!$A$46:$K$120,7,0)&amp;""</f>
        <v>Yes</v>
      </c>
      <c r="H274" s="4" t="str">
        <f>VLOOKUP($A274,'Privacy Analyst Evaluation'!$A$46:$K$120,8,0)&amp;""</f>
        <v/>
      </c>
      <c r="I274" s="4" t="str">
        <f>VLOOKUP($A274,'Privacy Analyst Evaluation'!$A$46:$K$120,9,0)&amp;""</f>
        <v>Minor Importance</v>
      </c>
      <c r="J274" s="4" t="str">
        <f>VLOOKUP($A274,'Privacy Analyst Evaluation'!$A$46:$K$120,10,0)&amp;""</f>
        <v/>
      </c>
      <c r="K274" s="4">
        <f>IF($I274='Auto Responses'!$J$11,20,IF($I274='Auto Responses'!$J$13,5,10))</f>
        <v>5</v>
      </c>
      <c r="L274" s="105">
        <f>IF($E274='Auto Responses'!$L$13, 'Auto Responses'!$J$5,IF(AND($D274='Auto Responses'!$J$27,$H274=""),'Auto Responses'!$J$5,IF(AND($D274='Auto Responses'!$J$27,$H274='Auto Responses'!$J$7),1,IF(AND($D274='Auto Responses'!$J$27,$H274='Auto Responses'!$J$8),0,IF(OR(AND($F274=$G274,$H274=""),$H274='Auto Responses'!$J$7),1,0)))))</f>
        <v>1</v>
      </c>
      <c r="M274" s="4" t="str">
        <f>VLOOKUP($A274,'Privacy Analyst Evaluation'!$A$46:$K$120,11,0)&amp;""</f>
        <v>FALSE</v>
      </c>
      <c r="N274" s="4">
        <f>IF($J274='Auto Responses'!$J$11,1,IF(AND($J274="",$I274='Auto Responses'!$J$11),1,0))</f>
        <v>0</v>
      </c>
      <c r="O274" s="105">
        <f>IF(OR($E274='Auto Responses'!$L$13,$F$24='Auto Responses'!$J$4,$F274='Auto Responses'!$J$5),'Auto Responses'!$J$5,IF($J274="",$K274,IF($J274='Auto Responses'!$J$13,5,IF($J274='Auto Responses'!$J$12,10,IF($J274='Auto Responses'!$J$11,20,0)))))</f>
        <v>5</v>
      </c>
      <c r="P274" s="105">
        <f>IF(OR($O274='Auto Responses'!$J$5,$L274='Auto Responses'!$J$5),'Auto Responses'!$J$5,$O274*$L274)</f>
        <v>5</v>
      </c>
      <c r="Q274" s="105">
        <f t="shared" si="32"/>
        <v>0</v>
      </c>
      <c r="R274" s="105">
        <f t="shared" si="37"/>
        <v>0</v>
      </c>
      <c r="S274" s="105">
        <f t="shared" si="33"/>
        <v>0</v>
      </c>
      <c r="T274" s="105">
        <f t="shared" si="34"/>
        <v>0</v>
      </c>
      <c r="U274" s="105">
        <f t="shared" si="38"/>
        <v>69</v>
      </c>
      <c r="V274" s="105">
        <f t="shared" si="35"/>
        <v>0</v>
      </c>
    </row>
    <row r="275" spans="1:22" ht="56" x14ac:dyDescent="0.3">
      <c r="A275" s="4" t="str">
        <f>Questions!$A275</f>
        <v>INTL-01</v>
      </c>
      <c r="B275" s="4" t="str">
        <f t="shared" si="36"/>
        <v>INTL</v>
      </c>
      <c r="C275" s="4" t="str">
        <f>VLOOKUP($A275,Questions!$A$3:$L$333,2,0)&amp;""</f>
        <v>Will data be collected from or processed in or stored in the European Economic Area (EEA)?</v>
      </c>
      <c r="D275" s="4" t="str">
        <f>VLOOKUP($A275,Questions!$A$3:$L$333,11,0)&amp;""</f>
        <v/>
      </c>
      <c r="E275" s="4" t="str">
        <f>VLOOKUP($A275,Questions!$A$3:$L$333,12,0)&amp;""</f>
        <v>Privacy</v>
      </c>
      <c r="F275" s="4" t="str">
        <f>VLOOKUP($A275,'Privacy Analyst Evaluation'!$A$46:$K$120,3,0)&amp;""</f>
        <v>Yes</v>
      </c>
      <c r="G275" s="4" t="str">
        <f>VLOOKUP($A275,'Privacy Analyst Evaluation'!$A$46:$K$120,7,0)&amp;""</f>
        <v>No</v>
      </c>
      <c r="H275" s="4" t="str">
        <f>VLOOKUP($A275,'Privacy Analyst Evaluation'!$A$46:$K$120,8,0)&amp;""</f>
        <v/>
      </c>
      <c r="I275" s="4" t="str">
        <f>VLOOKUP($A275,'Privacy Analyst Evaluation'!$A$46:$K$120,9,0)&amp;""</f>
        <v>Standard Importance</v>
      </c>
      <c r="J275" s="4" t="str">
        <f>VLOOKUP($A275,'Privacy Analyst Evaluation'!$A$46:$K$120,10,0)&amp;""</f>
        <v/>
      </c>
      <c r="K275" s="4">
        <f>IF($I275='Auto Responses'!$J$11,20,IF($I275='Auto Responses'!$J$13,5,10))</f>
        <v>10</v>
      </c>
      <c r="L275" s="105">
        <f>IF($E275='Auto Responses'!$L$13, 'Auto Responses'!$J$5,IF(AND($D275='Auto Responses'!$J$27,$H275=""),'Auto Responses'!$J$5,IF(AND($D275='Auto Responses'!$J$27,$H275='Auto Responses'!$J$7),1,IF(AND($D275='Auto Responses'!$J$27,$H275='Auto Responses'!$J$8),0,IF(OR(AND($F275=$G275,$H275=""),$H275='Auto Responses'!$J$7),1,0)))))</f>
        <v>0</v>
      </c>
      <c r="M275" s="4" t="str">
        <f>VLOOKUP($A275,'Privacy Analyst Evaluation'!$A$46:$K$120,11,0)&amp;""</f>
        <v>FALSE</v>
      </c>
      <c r="N275" s="4">
        <f>IF($J275='Auto Responses'!$J$11,1,IF(AND($J275="",$I275='Auto Responses'!$J$11),1,0))</f>
        <v>0</v>
      </c>
      <c r="O275" s="105">
        <f>IF(OR($E275='Auto Responses'!$L$13,$F$24='Auto Responses'!$J$4,$F275='Auto Responses'!$J$5),'Auto Responses'!$J$5,IF($J275="",$K275,IF($J275='Auto Responses'!$J$13,5,IF($J275='Auto Responses'!$J$12,10,IF($J275='Auto Responses'!$J$11,20,0)))))</f>
        <v>10</v>
      </c>
      <c r="P275" s="105">
        <f>IF(OR($O275='Auto Responses'!$J$5,$L275='Auto Responses'!$J$5),'Auto Responses'!$J$5,$O275*$L275)</f>
        <v>0</v>
      </c>
      <c r="Q275" s="105">
        <f t="shared" si="32"/>
        <v>0</v>
      </c>
      <c r="R275" s="105">
        <f t="shared" si="37"/>
        <v>0</v>
      </c>
      <c r="S275" s="105">
        <f t="shared" si="33"/>
        <v>0</v>
      </c>
      <c r="T275" s="105">
        <f t="shared" si="34"/>
        <v>0</v>
      </c>
      <c r="U275" s="105">
        <f t="shared" si="38"/>
        <v>69</v>
      </c>
      <c r="V275" s="105">
        <f t="shared" si="35"/>
        <v>0</v>
      </c>
    </row>
    <row r="276" spans="1:22" ht="56" x14ac:dyDescent="0.3">
      <c r="A276" s="4" t="str">
        <f>Questions!$A276</f>
        <v>INTL-02</v>
      </c>
      <c r="B276" s="4" t="str">
        <f t="shared" si="36"/>
        <v>INTL</v>
      </c>
      <c r="C276" s="4" t="str">
        <f>VLOOKUP($A276,Questions!$A$3:$L$333,2,0)&amp;""</f>
        <v>Do you have a data protection officer (DPO)?</v>
      </c>
      <c r="D276" s="4" t="str">
        <f>VLOOKUP($A276,Questions!$A$3:$L$333,11,0)&amp;""</f>
        <v/>
      </c>
      <c r="E276" s="4" t="str">
        <f>VLOOKUP($A276,Questions!$A$3:$L$333,12,0)&amp;""</f>
        <v>Privacy</v>
      </c>
      <c r="F276" s="4" t="str">
        <f>VLOOKUP($A276,'Privacy Analyst Evaluation'!$A$46:$K$120,3,0)&amp;""</f>
        <v>Yes</v>
      </c>
      <c r="G276" s="4" t="str">
        <f>VLOOKUP($A276,'Privacy Analyst Evaluation'!$A$46:$K$120,7,0)&amp;""</f>
        <v>Yes</v>
      </c>
      <c r="H276" s="4" t="str">
        <f>VLOOKUP($A276,'Privacy Analyst Evaluation'!$A$46:$K$120,8,0)&amp;""</f>
        <v/>
      </c>
      <c r="I276" s="4" t="str">
        <f>VLOOKUP($A276,'Privacy Analyst Evaluation'!$A$46:$K$120,9,0)&amp;""</f>
        <v>Standard Importance</v>
      </c>
      <c r="J276" s="4" t="str">
        <f>VLOOKUP($A276,'Privacy Analyst Evaluation'!$A$46:$K$120,10,0)&amp;""</f>
        <v/>
      </c>
      <c r="K276" s="4">
        <f>IF($I276='Auto Responses'!$J$11,20,IF($I276='Auto Responses'!$J$13,5,10))</f>
        <v>10</v>
      </c>
      <c r="L276" s="105">
        <f>IF($E276='Auto Responses'!$L$13, 'Auto Responses'!$J$5,IF(AND($D276='Auto Responses'!$J$27,$H276=""),'Auto Responses'!$J$5,IF(AND($D276='Auto Responses'!$J$27,$H276='Auto Responses'!$J$7),1,IF(AND($D276='Auto Responses'!$J$27,$H276='Auto Responses'!$J$8),0,IF(OR(AND($F276=$G276,$H276=""),$H276='Auto Responses'!$J$7),1,0)))))</f>
        <v>1</v>
      </c>
      <c r="M276" s="4" t="str">
        <f>VLOOKUP($A276,'Privacy Analyst Evaluation'!$A$46:$K$120,11,0)&amp;""</f>
        <v>FALSE</v>
      </c>
      <c r="N276" s="4">
        <f>IF($J276='Auto Responses'!$J$11,1,IF(AND($J276="",$I276='Auto Responses'!$J$11),1,0))</f>
        <v>0</v>
      </c>
      <c r="O276" s="105">
        <f>IF(OR($E276='Auto Responses'!$L$13,$F$24='Auto Responses'!$J$4,$F276='Auto Responses'!$J$5),'Auto Responses'!$J$5,IF($J276="",$K276,IF($J276='Auto Responses'!$J$13,5,IF($J276='Auto Responses'!$J$12,10,IF($J276='Auto Responses'!$J$11,20,0)))))</f>
        <v>10</v>
      </c>
      <c r="P276" s="105">
        <f>IF(OR($O276='Auto Responses'!$J$5,$L276='Auto Responses'!$J$5),'Auto Responses'!$J$5,$O276*$L276)</f>
        <v>10</v>
      </c>
      <c r="Q276" s="105">
        <f t="shared" si="32"/>
        <v>0</v>
      </c>
      <c r="R276" s="105">
        <f t="shared" si="37"/>
        <v>0</v>
      </c>
      <c r="S276" s="105">
        <f t="shared" si="33"/>
        <v>0</v>
      </c>
      <c r="T276" s="105">
        <f t="shared" si="34"/>
        <v>0</v>
      </c>
      <c r="U276" s="105">
        <f t="shared" si="38"/>
        <v>69</v>
      </c>
      <c r="V276" s="105">
        <f t="shared" si="35"/>
        <v>0</v>
      </c>
    </row>
    <row r="277" spans="1:22" ht="56" x14ac:dyDescent="0.3">
      <c r="A277" s="4" t="str">
        <f>Questions!$A277</f>
        <v>INTL-03</v>
      </c>
      <c r="B277" s="4" t="str">
        <f t="shared" si="36"/>
        <v>INTL</v>
      </c>
      <c r="C277" s="4" t="str">
        <f>VLOOKUP($A277,Questions!$A$3:$L$333,2,0)&amp;""</f>
        <v>Will you sign appropriate GDPR Standard Contractual Clauses (SCCs) with the institution?</v>
      </c>
      <c r="D277" s="4" t="str">
        <f>VLOOKUP($A277,Questions!$A$3:$L$333,11,0)&amp;""</f>
        <v/>
      </c>
      <c r="E277" s="4" t="str">
        <f>VLOOKUP($A277,Questions!$A$3:$L$333,12,0)&amp;""</f>
        <v>Privacy</v>
      </c>
      <c r="F277" s="4" t="str">
        <f>VLOOKUP($A277,'Privacy Analyst Evaluation'!$A$46:$K$120,3,0)&amp;""</f>
        <v>Yes</v>
      </c>
      <c r="G277" s="4" t="str">
        <f>VLOOKUP($A277,'Privacy Analyst Evaluation'!$A$46:$K$120,7,0)&amp;""</f>
        <v>Yes</v>
      </c>
      <c r="H277" s="4" t="str">
        <f>VLOOKUP($A277,'Privacy Analyst Evaluation'!$A$46:$K$120,8,0)&amp;""</f>
        <v/>
      </c>
      <c r="I277" s="4" t="str">
        <f>VLOOKUP($A277,'Privacy Analyst Evaluation'!$A$46:$K$120,9,0)&amp;""</f>
        <v>Standard Importance</v>
      </c>
      <c r="J277" s="4" t="str">
        <f>VLOOKUP($A277,'Privacy Analyst Evaluation'!$A$46:$K$120,10,0)&amp;""</f>
        <v/>
      </c>
      <c r="K277" s="4">
        <f>IF($I277='Auto Responses'!$J$11,20,IF($I277='Auto Responses'!$J$13,5,10))</f>
        <v>10</v>
      </c>
      <c r="L277" s="105">
        <f>IF($E277='Auto Responses'!$L$13, 'Auto Responses'!$J$5,IF(AND($D277='Auto Responses'!$J$27,$H277=""),'Auto Responses'!$J$5,IF(AND($D277='Auto Responses'!$J$27,$H277='Auto Responses'!$J$7),1,IF(AND($D277='Auto Responses'!$J$27,$H277='Auto Responses'!$J$8),0,IF(OR(AND($F277=$G277,$H277=""),$H277='Auto Responses'!$J$7),1,0)))))</f>
        <v>1</v>
      </c>
      <c r="M277" s="4" t="str">
        <f>VLOOKUP($A277,'Privacy Analyst Evaluation'!$A$46:$K$120,11,0)&amp;""</f>
        <v>FALSE</v>
      </c>
      <c r="N277" s="4">
        <f>IF($J277='Auto Responses'!$J$11,1,IF(AND($J277="",$I277='Auto Responses'!$J$11),1,0))</f>
        <v>0</v>
      </c>
      <c r="O277" s="105">
        <f>IF(OR($E277='Auto Responses'!$L$13,$F$24='Auto Responses'!$J$4,$F277='Auto Responses'!$J$5),'Auto Responses'!$J$5,IF($J277="",$K277,IF($J277='Auto Responses'!$J$13,5,IF($J277='Auto Responses'!$J$12,10,IF($J277='Auto Responses'!$J$11,20,0)))))</f>
        <v>10</v>
      </c>
      <c r="P277" s="105">
        <f>IF(OR($O277='Auto Responses'!$J$5,$L277='Auto Responses'!$J$5),'Auto Responses'!$J$5,$O277*$L277)</f>
        <v>10</v>
      </c>
      <c r="Q277" s="105">
        <f t="shared" si="32"/>
        <v>0</v>
      </c>
      <c r="R277" s="105">
        <f t="shared" si="37"/>
        <v>0</v>
      </c>
      <c r="S277" s="105">
        <f t="shared" si="33"/>
        <v>0</v>
      </c>
      <c r="T277" s="105">
        <f t="shared" si="34"/>
        <v>0</v>
      </c>
      <c r="U277" s="105">
        <f t="shared" si="38"/>
        <v>69</v>
      </c>
      <c r="V277" s="105">
        <f t="shared" si="35"/>
        <v>0</v>
      </c>
    </row>
    <row r="278" spans="1:22" ht="56" x14ac:dyDescent="0.3">
      <c r="A278" s="4" t="str">
        <f>Questions!$A278</f>
        <v>INTL-04</v>
      </c>
      <c r="B278" s="4" t="str">
        <f t="shared" si="36"/>
        <v>INTL</v>
      </c>
      <c r="C278" s="4" t="str">
        <f>VLOOKUP($A278,Questions!$A$3:$L$333,2,0)&amp;""</f>
        <v>Will data be collected from or processed in or stored in China?</v>
      </c>
      <c r="D278" s="4" t="str">
        <f>VLOOKUP($A278,Questions!$A$3:$L$333,11,0)&amp;""</f>
        <v/>
      </c>
      <c r="E278" s="4" t="str">
        <f>VLOOKUP($A278,Questions!$A$3:$L$333,12,0)&amp;""</f>
        <v>Privacy</v>
      </c>
      <c r="F278" s="4" t="str">
        <f>VLOOKUP($A278,'Privacy Analyst Evaluation'!$A$46:$K$120,3,0)&amp;""</f>
        <v>No</v>
      </c>
      <c r="G278" s="4" t="str">
        <f>VLOOKUP($A278,'Privacy Analyst Evaluation'!$A$46:$K$120,7,0)&amp;""</f>
        <v>No</v>
      </c>
      <c r="H278" s="4" t="str">
        <f>VLOOKUP($A278,'Privacy Analyst Evaluation'!$A$46:$K$120,8,0)&amp;""</f>
        <v/>
      </c>
      <c r="I278" s="4" t="str">
        <f>VLOOKUP($A278,'Privacy Analyst Evaluation'!$A$46:$K$120,9,0)&amp;""</f>
        <v>Standard Importance</v>
      </c>
      <c r="J278" s="4" t="str">
        <f>VLOOKUP($A278,'Privacy Analyst Evaluation'!$A$46:$K$120,10,0)&amp;""</f>
        <v/>
      </c>
      <c r="K278" s="4">
        <f>IF($I278='Auto Responses'!$J$11,20,IF($I278='Auto Responses'!$J$13,5,10))</f>
        <v>10</v>
      </c>
      <c r="L278" s="105">
        <f>IF($E278='Auto Responses'!$L$13, 'Auto Responses'!$J$5,IF(AND($D278='Auto Responses'!$J$27,$H278=""),'Auto Responses'!$J$5,IF(AND($D278='Auto Responses'!$J$27,$H278='Auto Responses'!$J$7),1,IF(AND($D278='Auto Responses'!$J$27,$H278='Auto Responses'!$J$8),0,IF(OR(AND($F278=$G278,$H278=""),$H278='Auto Responses'!$J$7),1,0)))))</f>
        <v>1</v>
      </c>
      <c r="M278" s="4" t="str">
        <f>VLOOKUP($A278,'Privacy Analyst Evaluation'!$A$46:$K$120,11,0)&amp;""</f>
        <v>FALSE</v>
      </c>
      <c r="N278" s="4">
        <f>IF($J278='Auto Responses'!$J$11,1,IF(AND($J278="",$I278='Auto Responses'!$J$11),1,0))</f>
        <v>0</v>
      </c>
      <c r="O278" s="105">
        <f>IF(OR($E278='Auto Responses'!$L$13,$F$24='Auto Responses'!$J$4,$F278='Auto Responses'!$J$5),'Auto Responses'!$J$5,IF($J278="",$K278,IF($J278='Auto Responses'!$J$13,5,IF($J278='Auto Responses'!$J$12,10,IF($J278='Auto Responses'!$J$11,20,0)))))</f>
        <v>10</v>
      </c>
      <c r="P278" s="105">
        <f>IF(OR($O278='Auto Responses'!$J$5,$L278='Auto Responses'!$J$5),'Auto Responses'!$J$5,$O278*$L278)</f>
        <v>10</v>
      </c>
      <c r="Q278" s="105">
        <f t="shared" si="32"/>
        <v>0</v>
      </c>
      <c r="R278" s="105">
        <f t="shared" si="37"/>
        <v>0</v>
      </c>
      <c r="S278" s="105">
        <f t="shared" si="33"/>
        <v>0</v>
      </c>
      <c r="T278" s="105">
        <f t="shared" si="34"/>
        <v>0</v>
      </c>
      <c r="U278" s="105">
        <f t="shared" si="38"/>
        <v>69</v>
      </c>
      <c r="V278" s="105">
        <f t="shared" si="35"/>
        <v>0</v>
      </c>
    </row>
    <row r="279" spans="1:22" ht="56" x14ac:dyDescent="0.3">
      <c r="A279" s="4" t="str">
        <f>Questions!$A279</f>
        <v>INTL-05</v>
      </c>
      <c r="B279" s="4" t="str">
        <f t="shared" si="36"/>
        <v>INTL</v>
      </c>
      <c r="C279" s="4" t="str">
        <f>VLOOKUP($A279,Questions!$A$3:$L$333,2,0)&amp;""</f>
        <v>Do you comply with PIPL security, privacy, and data localization requirements?</v>
      </c>
      <c r="D279" s="4" t="str">
        <f>VLOOKUP($A279,Questions!$A$3:$L$333,11,0)&amp;""</f>
        <v/>
      </c>
      <c r="E279" s="4" t="str">
        <f>VLOOKUP($A279,Questions!$A$3:$L$333,12,0)&amp;""</f>
        <v>Privacy</v>
      </c>
      <c r="F279" s="4" t="str">
        <f>VLOOKUP($A279,'Privacy Analyst Evaluation'!$A$46:$K$120,3,0)&amp;""</f>
        <v>N/A</v>
      </c>
      <c r="G279" s="4" t="str">
        <f>VLOOKUP($A279,'Privacy Analyst Evaluation'!$A$46:$K$120,7,0)&amp;""</f>
        <v>Yes</v>
      </c>
      <c r="H279" s="4" t="str">
        <f>VLOOKUP($A279,'Privacy Analyst Evaluation'!$A$46:$K$120,8,0)&amp;""</f>
        <v/>
      </c>
      <c r="I279" s="4" t="str">
        <f>VLOOKUP($A279,'Privacy Analyst Evaluation'!$A$46:$K$120,9,0)&amp;""</f>
        <v>Standard Importance</v>
      </c>
      <c r="J279" s="4" t="str">
        <f>VLOOKUP($A279,'Privacy Analyst Evaluation'!$A$46:$K$120,10,0)&amp;""</f>
        <v/>
      </c>
      <c r="K279" s="4">
        <f>IF($I279='Auto Responses'!$J$11,20,IF($I279='Auto Responses'!$J$13,5,10))</f>
        <v>10</v>
      </c>
      <c r="L279" s="105">
        <f>IF($E279='Auto Responses'!$L$13, 'Auto Responses'!$J$5,IF(AND($D279='Auto Responses'!$J$27,$H279=""),'Auto Responses'!$J$5,IF(AND($D279='Auto Responses'!$J$27,$H279='Auto Responses'!$J$7),1,IF(AND($D279='Auto Responses'!$J$27,$H279='Auto Responses'!$J$8),0,IF(OR(AND($F279=$G279,$H279=""),$H279='Auto Responses'!$J$7),1,0)))))</f>
        <v>0</v>
      </c>
      <c r="M279" s="4" t="str">
        <f>VLOOKUP($A279,'Privacy Analyst Evaluation'!$A$46:$K$120,11,0)&amp;""</f>
        <v>FALSE</v>
      </c>
      <c r="N279" s="4">
        <f>IF($J279='Auto Responses'!$J$11,1,IF(AND($J279="",$I279='Auto Responses'!$J$11),1,0))</f>
        <v>0</v>
      </c>
      <c r="O279" s="105" t="str">
        <f>IF(OR($E279='Auto Responses'!$L$13,$F$24='Auto Responses'!$J$4,$F279='Auto Responses'!$J$5),'Auto Responses'!$J$5,IF($J279="",$K279,IF($J279='Auto Responses'!$J$13,5,IF($J279='Auto Responses'!$J$12,10,IF($J279='Auto Responses'!$J$11,20,0)))))</f>
        <v>N/A</v>
      </c>
      <c r="P279" s="105" t="str">
        <f>IF(OR($O279='Auto Responses'!$J$5,$L279='Auto Responses'!$J$5),'Auto Responses'!$J$5,$O279*$L279)</f>
        <v>N/A</v>
      </c>
      <c r="Q279" s="105">
        <f t="shared" si="32"/>
        <v>0</v>
      </c>
      <c r="R279" s="105">
        <f t="shared" si="37"/>
        <v>0</v>
      </c>
      <c r="S279" s="105">
        <f t="shared" si="33"/>
        <v>0</v>
      </c>
      <c r="T279" s="105">
        <f t="shared" si="34"/>
        <v>0</v>
      </c>
      <c r="U279" s="105">
        <f t="shared" si="38"/>
        <v>69</v>
      </c>
      <c r="V279" s="105">
        <f t="shared" si="35"/>
        <v>0</v>
      </c>
    </row>
    <row r="280" spans="1:22" ht="56" x14ac:dyDescent="0.3">
      <c r="A280" s="4" t="str">
        <f>Questions!$A280</f>
        <v>DRPV-01</v>
      </c>
      <c r="B280" s="4" t="str">
        <f t="shared" si="36"/>
        <v>DRPV</v>
      </c>
      <c r="C280" s="4" t="str">
        <f>VLOOKUP($A280,Questions!$A$3:$L$333,2,0)&amp;""</f>
        <v>Have you performed a Data Privacy Impact Assessment for the solution/project?</v>
      </c>
      <c r="D280" s="4" t="str">
        <f>VLOOKUP($A280,Questions!$A$3:$L$333,11,0)&amp;""</f>
        <v/>
      </c>
      <c r="E280" s="4" t="str">
        <f>VLOOKUP($A280,Questions!$A$3:$L$333,12,0)&amp;""</f>
        <v>Privacy</v>
      </c>
      <c r="F280" s="4" t="str">
        <f>VLOOKUP($A280,'Privacy Analyst Evaluation'!$A$46:$K$120,3,0)&amp;""</f>
        <v>Yes</v>
      </c>
      <c r="G280" s="4" t="str">
        <f>VLOOKUP($A280,'Privacy Analyst Evaluation'!$A$46:$K$120,7,0)&amp;""</f>
        <v>Yes</v>
      </c>
      <c r="H280" s="4" t="str">
        <f>VLOOKUP($A280,'Privacy Analyst Evaluation'!$A$46:$K$120,8,0)&amp;""</f>
        <v/>
      </c>
      <c r="I280" s="4" t="str">
        <f>VLOOKUP($A280,'Privacy Analyst Evaluation'!$A$46:$K$120,9,0)&amp;""</f>
        <v>Standard Importance</v>
      </c>
      <c r="J280" s="4" t="str">
        <f>VLOOKUP($A280,'Privacy Analyst Evaluation'!$A$46:$K$120,10,0)&amp;""</f>
        <v/>
      </c>
      <c r="K280" s="4">
        <f>IF($I280='Auto Responses'!$J$11,20,IF($I280='Auto Responses'!$J$13,5,10))</f>
        <v>10</v>
      </c>
      <c r="L280" s="105">
        <f>IF($E280='Auto Responses'!$L$13, 'Auto Responses'!$J$5,IF(AND($D280='Auto Responses'!$J$27,$H280=""),'Auto Responses'!$J$5,IF(AND($D280='Auto Responses'!$J$27,$H280='Auto Responses'!$J$7),1,IF(AND($D280='Auto Responses'!$J$27,$H280='Auto Responses'!$J$8),0,IF(OR(AND($F280=$G280,$H280=""),$H280='Auto Responses'!$J$7),1,0)))))</f>
        <v>1</v>
      </c>
      <c r="M280" s="4" t="str">
        <f>VLOOKUP($A280,'Privacy Analyst Evaluation'!$A$46:$K$120,11,0)&amp;""</f>
        <v>FALSE</v>
      </c>
      <c r="N280" s="4">
        <f>IF($J280='Auto Responses'!$J$11,1,IF(AND($J280="",$I280='Auto Responses'!$J$11),1,0))</f>
        <v>0</v>
      </c>
      <c r="O280" s="105">
        <f>IF(OR($E280='Auto Responses'!$L$13,$F$24='Auto Responses'!$J$4,$F280='Auto Responses'!$J$5),'Auto Responses'!$J$5,IF($J280="",$K280,IF($J280='Auto Responses'!$J$13,5,IF($J280='Auto Responses'!$J$12,10,IF($J280='Auto Responses'!$J$11,20,0)))))</f>
        <v>10</v>
      </c>
      <c r="P280" s="105">
        <f>IF(OR($O280='Auto Responses'!$J$5,$L280='Auto Responses'!$J$5),'Auto Responses'!$J$5,$O280*$L280)</f>
        <v>10</v>
      </c>
      <c r="Q280" s="105">
        <f t="shared" si="32"/>
        <v>0</v>
      </c>
      <c r="R280" s="105">
        <f t="shared" si="37"/>
        <v>0</v>
      </c>
      <c r="S280" s="105">
        <f t="shared" si="33"/>
        <v>0</v>
      </c>
      <c r="T280" s="105">
        <f t="shared" si="34"/>
        <v>0</v>
      </c>
      <c r="U280" s="105">
        <f t="shared" si="38"/>
        <v>69</v>
      </c>
      <c r="V280" s="105">
        <f t="shared" si="35"/>
        <v>0</v>
      </c>
    </row>
    <row r="281" spans="1:22" ht="56" x14ac:dyDescent="0.3">
      <c r="A281" s="4" t="str">
        <f>Questions!$A281</f>
        <v>DRPV-02</v>
      </c>
      <c r="B281" s="4" t="str">
        <f t="shared" si="36"/>
        <v>DRPV</v>
      </c>
      <c r="C281" s="4" t="str">
        <f>VLOOKUP($A281,Questions!$A$3:$L$333,2,0)&amp;""</f>
        <v>Do you provide an end-user privacy notice about privacy policies and procedures that identify the purpose(s) for which personal information is collected, used, retained, and disclosed?</v>
      </c>
      <c r="D281" s="4" t="str">
        <f>VLOOKUP($A281,Questions!$A$3:$L$333,11,0)&amp;""</f>
        <v/>
      </c>
      <c r="E281" s="4" t="str">
        <f>VLOOKUP($A281,Questions!$A$3:$L$333,12,0)&amp;""</f>
        <v>Privacy</v>
      </c>
      <c r="F281" s="4" t="str">
        <f>VLOOKUP($A281,'Privacy Analyst Evaluation'!$A$46:$K$120,3,0)&amp;""</f>
        <v>Yes</v>
      </c>
      <c r="G281" s="4" t="str">
        <f>VLOOKUP($A281,'Privacy Analyst Evaluation'!$A$46:$K$120,7,0)&amp;""</f>
        <v>Yes</v>
      </c>
      <c r="H281" s="4" t="str">
        <f>VLOOKUP($A281,'Privacy Analyst Evaluation'!$A$46:$K$120,8,0)&amp;""</f>
        <v/>
      </c>
      <c r="I281" s="4" t="str">
        <f>VLOOKUP($A281,'Privacy Analyst Evaluation'!$A$46:$K$120,9,0)&amp;""</f>
        <v>Standard Importance</v>
      </c>
      <c r="J281" s="4" t="str">
        <f>VLOOKUP($A281,'Privacy Analyst Evaluation'!$A$46:$K$120,10,0)&amp;""</f>
        <v/>
      </c>
      <c r="K281" s="4">
        <f>IF($I281='Auto Responses'!$J$11,20,IF($I281='Auto Responses'!$J$13,5,10))</f>
        <v>10</v>
      </c>
      <c r="L281" s="105">
        <f>IF($E281='Auto Responses'!$L$13, 'Auto Responses'!$J$5,IF(AND($D281='Auto Responses'!$J$27,$H281=""),'Auto Responses'!$J$5,IF(AND($D281='Auto Responses'!$J$27,$H281='Auto Responses'!$J$7),1,IF(AND($D281='Auto Responses'!$J$27,$H281='Auto Responses'!$J$8),0,IF(OR(AND($F281=$G281,$H281=""),$H281='Auto Responses'!$J$7),1,0)))))</f>
        <v>1</v>
      </c>
      <c r="M281" s="4" t="str">
        <f>VLOOKUP($A281,'Privacy Analyst Evaluation'!$A$46:$K$120,11,0)&amp;""</f>
        <v>FALSE</v>
      </c>
      <c r="N281" s="4">
        <f>IF($J281='Auto Responses'!$J$11,1,IF(AND($J281="",$I281='Auto Responses'!$J$11),1,0))</f>
        <v>0</v>
      </c>
      <c r="O281" s="105">
        <f>IF(OR($E281='Auto Responses'!$L$13,$F$24='Auto Responses'!$J$4,$F281='Auto Responses'!$J$5),'Auto Responses'!$J$5,IF($J281="",$K281,IF($J281='Auto Responses'!$J$13,5,IF($J281='Auto Responses'!$J$12,10,IF($J281='Auto Responses'!$J$11,20,0)))))</f>
        <v>10</v>
      </c>
      <c r="P281" s="105">
        <f>IF(OR($O281='Auto Responses'!$J$5,$L281='Auto Responses'!$J$5),'Auto Responses'!$J$5,$O281*$L281)</f>
        <v>10</v>
      </c>
      <c r="Q281" s="105">
        <f t="shared" si="32"/>
        <v>0</v>
      </c>
      <c r="R281" s="105">
        <f t="shared" si="37"/>
        <v>0</v>
      </c>
      <c r="S281" s="105">
        <f t="shared" si="33"/>
        <v>0</v>
      </c>
      <c r="T281" s="105">
        <f t="shared" si="34"/>
        <v>0</v>
      </c>
      <c r="U281" s="105">
        <f t="shared" si="38"/>
        <v>69</v>
      </c>
      <c r="V281" s="105">
        <f t="shared" si="35"/>
        <v>0</v>
      </c>
    </row>
    <row r="282" spans="1:22" ht="56" x14ac:dyDescent="0.3">
      <c r="A282" s="4" t="str">
        <f>Questions!$A282</f>
        <v>DRPV-03</v>
      </c>
      <c r="B282" s="4" t="str">
        <f t="shared" si="36"/>
        <v>DRPV</v>
      </c>
      <c r="C282" s="4" t="str">
        <f>VLOOKUP($A282,Questions!$A$3:$L$333,2,0)&amp;""</f>
        <v>Do you describe the choices available to the individual and obtain implicit or explicit consent with respect to the collection, use, and disclosure of personal information?</v>
      </c>
      <c r="D282" s="4" t="str">
        <f>VLOOKUP($A282,Questions!$A$3:$L$333,11,0)&amp;""</f>
        <v/>
      </c>
      <c r="E282" s="4" t="str">
        <f>VLOOKUP($A282,Questions!$A$3:$L$333,12,0)&amp;""</f>
        <v>Privacy</v>
      </c>
      <c r="F282" s="4" t="str">
        <f>VLOOKUP($A282,'Privacy Analyst Evaluation'!$A$46:$K$120,3,0)&amp;""</f>
        <v>Yes</v>
      </c>
      <c r="G282" s="4" t="str">
        <f>VLOOKUP($A282,'Privacy Analyst Evaluation'!$A$46:$K$120,7,0)&amp;""</f>
        <v>Yes</v>
      </c>
      <c r="H282" s="4" t="str">
        <f>VLOOKUP($A282,'Privacy Analyst Evaluation'!$A$46:$K$120,8,0)&amp;""</f>
        <v/>
      </c>
      <c r="I282" s="4" t="str">
        <f>VLOOKUP($A282,'Privacy Analyst Evaluation'!$A$46:$K$120,9,0)&amp;""</f>
        <v>Standard Importance</v>
      </c>
      <c r="J282" s="4" t="str">
        <f>VLOOKUP($A282,'Privacy Analyst Evaluation'!$A$46:$K$120,10,0)&amp;""</f>
        <v/>
      </c>
      <c r="K282" s="4">
        <f>IF($I282='Auto Responses'!$J$11,20,IF($I282='Auto Responses'!$J$13,5,10))</f>
        <v>10</v>
      </c>
      <c r="L282" s="105">
        <f>IF($E282='Auto Responses'!$L$13, 'Auto Responses'!$J$5,IF(AND($D282='Auto Responses'!$J$27,$H282=""),'Auto Responses'!$J$5,IF(AND($D282='Auto Responses'!$J$27,$H282='Auto Responses'!$J$7),1,IF(AND($D282='Auto Responses'!$J$27,$H282='Auto Responses'!$J$8),0,IF(OR(AND($F282=$G282,$H282=""),$H282='Auto Responses'!$J$7),1,0)))))</f>
        <v>1</v>
      </c>
      <c r="M282" s="4" t="str">
        <f>VLOOKUP($A282,'Privacy Analyst Evaluation'!$A$46:$K$120,11,0)&amp;""</f>
        <v>FALSE</v>
      </c>
      <c r="N282" s="4">
        <f>IF($J282='Auto Responses'!$J$11,1,IF(AND($J282="",$I282='Auto Responses'!$J$11),1,0))</f>
        <v>0</v>
      </c>
      <c r="O282" s="105">
        <f>IF(OR($E282='Auto Responses'!$L$13,$F$24='Auto Responses'!$J$4,$F282='Auto Responses'!$J$5),'Auto Responses'!$J$5,IF($J282="",$K282,IF($J282='Auto Responses'!$J$13,5,IF($J282='Auto Responses'!$J$12,10,IF($J282='Auto Responses'!$J$11,20,0)))))</f>
        <v>10</v>
      </c>
      <c r="P282" s="105">
        <f>IF(OR($O282='Auto Responses'!$J$5,$L282='Auto Responses'!$J$5),'Auto Responses'!$J$5,$O282*$L282)</f>
        <v>10</v>
      </c>
      <c r="Q282" s="105">
        <f t="shared" si="32"/>
        <v>0</v>
      </c>
      <c r="R282" s="105">
        <f t="shared" si="37"/>
        <v>0</v>
      </c>
      <c r="S282" s="105">
        <f t="shared" si="33"/>
        <v>0</v>
      </c>
      <c r="T282" s="105">
        <f t="shared" si="34"/>
        <v>0</v>
      </c>
      <c r="U282" s="105">
        <f t="shared" si="38"/>
        <v>69</v>
      </c>
      <c r="V282" s="105">
        <f t="shared" si="35"/>
        <v>0</v>
      </c>
    </row>
    <row r="283" spans="1:22" ht="56" x14ac:dyDescent="0.3">
      <c r="A283" s="4" t="str">
        <f>Questions!$A283</f>
        <v>DRPV-04</v>
      </c>
      <c r="B283" s="4" t="str">
        <f t="shared" si="36"/>
        <v>DRPV</v>
      </c>
      <c r="C283" s="4" t="str">
        <f>VLOOKUP($A283,Questions!$A$3:$L$333,2,0)&amp;""</f>
        <v>Do you collect personal information only for the purpose(s) identified in the agreement with an institution or, if there is none, the purpose(s) identified in the privacy notice?</v>
      </c>
      <c r="D283" s="4" t="str">
        <f>VLOOKUP($A283,Questions!$A$3:$L$333,11,0)&amp;""</f>
        <v/>
      </c>
      <c r="E283" s="4" t="str">
        <f>VLOOKUP($A283,Questions!$A$3:$L$333,12,0)&amp;""</f>
        <v>Privacy</v>
      </c>
      <c r="F283" s="4" t="str">
        <f>VLOOKUP($A283,'Privacy Analyst Evaluation'!$A$46:$K$120,3,0)&amp;""</f>
        <v>Yes</v>
      </c>
      <c r="G283" s="4" t="str">
        <f>VLOOKUP($A283,'Privacy Analyst Evaluation'!$A$46:$K$120,7,0)&amp;""</f>
        <v>Yes</v>
      </c>
      <c r="H283" s="4" t="str">
        <f>VLOOKUP($A283,'Privacy Analyst Evaluation'!$A$46:$K$120,8,0)&amp;""</f>
        <v/>
      </c>
      <c r="I283" s="4" t="str">
        <f>VLOOKUP($A283,'Privacy Analyst Evaluation'!$A$46:$K$120,9,0)&amp;""</f>
        <v>Standard Importance</v>
      </c>
      <c r="J283" s="4" t="str">
        <f>VLOOKUP($A283,'Privacy Analyst Evaluation'!$A$46:$K$120,10,0)&amp;""</f>
        <v/>
      </c>
      <c r="K283" s="4">
        <f>IF($I283='Auto Responses'!$J$11,20,IF($I283='Auto Responses'!$J$13,5,10))</f>
        <v>10</v>
      </c>
      <c r="L283" s="105">
        <f>IF($E283='Auto Responses'!$L$13, 'Auto Responses'!$J$5,IF(AND($D283='Auto Responses'!$J$27,$H283=""),'Auto Responses'!$J$5,IF(AND($D283='Auto Responses'!$J$27,$H283='Auto Responses'!$J$7),1,IF(AND($D283='Auto Responses'!$J$27,$H283='Auto Responses'!$J$8),0,IF(OR(AND($F283=$G283,$H283=""),$H283='Auto Responses'!$J$7),1,0)))))</f>
        <v>1</v>
      </c>
      <c r="M283" s="4" t="str">
        <f>VLOOKUP($A283,'Privacy Analyst Evaluation'!$A$46:$K$120,11,0)&amp;""</f>
        <v>FALSE</v>
      </c>
      <c r="N283" s="4">
        <f>IF($J283='Auto Responses'!$J$11,1,IF(AND($J283="",$I283='Auto Responses'!$J$11),1,0))</f>
        <v>0</v>
      </c>
      <c r="O283" s="105">
        <f>IF(OR($E283='Auto Responses'!$L$13,$F$24='Auto Responses'!$J$4,$F283='Auto Responses'!$J$5),'Auto Responses'!$J$5,IF($J283="",$K283,IF($J283='Auto Responses'!$J$13,5,IF($J283='Auto Responses'!$J$12,10,IF($J283='Auto Responses'!$J$11,20,0)))))</f>
        <v>10</v>
      </c>
      <c r="P283" s="105">
        <f>IF(OR($O283='Auto Responses'!$J$5,$L283='Auto Responses'!$J$5),'Auto Responses'!$J$5,$O283*$L283)</f>
        <v>10</v>
      </c>
      <c r="Q283" s="105">
        <f t="shared" si="32"/>
        <v>0</v>
      </c>
      <c r="R283" s="105">
        <f t="shared" si="37"/>
        <v>0</v>
      </c>
      <c r="S283" s="105">
        <f t="shared" si="33"/>
        <v>0</v>
      </c>
      <c r="T283" s="105">
        <f t="shared" si="34"/>
        <v>0</v>
      </c>
      <c r="U283" s="105">
        <f t="shared" si="38"/>
        <v>69</v>
      </c>
      <c r="V283" s="105">
        <f t="shared" si="35"/>
        <v>0</v>
      </c>
    </row>
    <row r="284" spans="1:22" ht="56" x14ac:dyDescent="0.3">
      <c r="A284" s="4" t="str">
        <f>Questions!$A284</f>
        <v>DRPV-05</v>
      </c>
      <c r="B284" s="4" t="str">
        <f t="shared" si="36"/>
        <v>DRPV</v>
      </c>
      <c r="C284" s="4" t="str">
        <f>VLOOKUP($A284,Questions!$A$3:$L$333,2,0)&amp;""</f>
        <v>Do you have a documented list of personal data your service maintains?</v>
      </c>
      <c r="D284" s="4" t="str">
        <f>VLOOKUP($A284,Questions!$A$3:$L$333,11,0)&amp;""</f>
        <v/>
      </c>
      <c r="E284" s="4" t="str">
        <f>VLOOKUP($A284,Questions!$A$3:$L$333,12,0)&amp;""</f>
        <v>Privacy</v>
      </c>
      <c r="F284" s="4" t="str">
        <f>VLOOKUP($A284,'Privacy Analyst Evaluation'!$A$46:$K$120,3,0)&amp;""</f>
        <v>Yes</v>
      </c>
      <c r="G284" s="4" t="str">
        <f>VLOOKUP($A284,'Privacy Analyst Evaluation'!$A$46:$K$120,7,0)&amp;""</f>
        <v>Yes</v>
      </c>
      <c r="H284" s="4" t="str">
        <f>VLOOKUP($A284,'Privacy Analyst Evaluation'!$A$46:$K$120,8,0)&amp;""</f>
        <v/>
      </c>
      <c r="I284" s="4" t="str">
        <f>VLOOKUP($A284,'Privacy Analyst Evaluation'!$A$46:$K$120,9,0)&amp;""</f>
        <v>Standard Importance</v>
      </c>
      <c r="J284" s="4" t="str">
        <f>VLOOKUP($A284,'Privacy Analyst Evaluation'!$A$46:$K$120,10,0)&amp;""</f>
        <v/>
      </c>
      <c r="K284" s="4">
        <f>IF($I284='Auto Responses'!$J$11,20,IF($I284='Auto Responses'!$J$13,5,10))</f>
        <v>10</v>
      </c>
      <c r="L284" s="105">
        <f>IF($E284='Auto Responses'!$L$13, 'Auto Responses'!$J$5,IF(AND($D284='Auto Responses'!$J$27,$H284=""),'Auto Responses'!$J$5,IF(AND($D284='Auto Responses'!$J$27,$H284='Auto Responses'!$J$7),1,IF(AND($D284='Auto Responses'!$J$27,$H284='Auto Responses'!$J$8),0,IF(OR(AND($F284=$G284,$H284=""),$H284='Auto Responses'!$J$7),1,0)))))</f>
        <v>1</v>
      </c>
      <c r="M284" s="4" t="str">
        <f>VLOOKUP($A284,'Privacy Analyst Evaluation'!$A$46:$K$120,11,0)&amp;""</f>
        <v>FALSE</v>
      </c>
      <c r="N284" s="4">
        <f>IF($J284='Auto Responses'!$J$11,1,IF(AND($J284="",$I284='Auto Responses'!$J$11),1,0))</f>
        <v>0</v>
      </c>
      <c r="O284" s="105">
        <f>IF(OR($E284='Auto Responses'!$L$13,$F$24='Auto Responses'!$J$4,$F284='Auto Responses'!$J$5),'Auto Responses'!$J$5,IF($J284="",$K284,IF($J284='Auto Responses'!$J$13,5,IF($J284='Auto Responses'!$J$12,10,IF($J284='Auto Responses'!$J$11,20,0)))))</f>
        <v>10</v>
      </c>
      <c r="P284" s="105">
        <f>IF(OR($O284='Auto Responses'!$J$5,$L284='Auto Responses'!$J$5),'Auto Responses'!$J$5,$O284*$L284)</f>
        <v>10</v>
      </c>
      <c r="Q284" s="105">
        <f t="shared" si="32"/>
        <v>0</v>
      </c>
      <c r="R284" s="105">
        <f t="shared" si="37"/>
        <v>0</v>
      </c>
      <c r="S284" s="105">
        <f t="shared" si="33"/>
        <v>0</v>
      </c>
      <c r="T284" s="105">
        <f t="shared" si="34"/>
        <v>0</v>
      </c>
      <c r="U284" s="105">
        <f t="shared" si="38"/>
        <v>69</v>
      </c>
      <c r="V284" s="105">
        <f t="shared" si="35"/>
        <v>0</v>
      </c>
    </row>
    <row r="285" spans="1:22" ht="56" x14ac:dyDescent="0.3">
      <c r="A285" s="4" t="str">
        <f>Questions!$A285</f>
        <v>DRPV-06</v>
      </c>
      <c r="B285" s="4" t="str">
        <f t="shared" si="36"/>
        <v>DRPV</v>
      </c>
      <c r="C285" s="4" t="str">
        <f>VLOOKUP($A285,Questions!$A$3:$L$333,2,0)&amp;""</f>
        <v>Do you retain personal information for only as long as necessary to fulfill the stated purpose(s) or as required by law or regulation and thereafter appropriately dispose of such information?</v>
      </c>
      <c r="D285" s="4" t="str">
        <f>VLOOKUP($A285,Questions!$A$3:$L$333,11,0)&amp;""</f>
        <v/>
      </c>
      <c r="E285" s="4" t="str">
        <f>VLOOKUP($A285,Questions!$A$3:$L$333,12,0)&amp;""</f>
        <v>Privacy</v>
      </c>
      <c r="F285" s="4" t="str">
        <f>VLOOKUP($A285,'Privacy Analyst Evaluation'!$A$46:$K$120,3,0)&amp;""</f>
        <v>Yes</v>
      </c>
      <c r="G285" s="4" t="str">
        <f>VLOOKUP($A285,'Privacy Analyst Evaluation'!$A$46:$K$120,7,0)&amp;""</f>
        <v>Yes</v>
      </c>
      <c r="H285" s="4" t="str">
        <f>VLOOKUP($A285,'Privacy Analyst Evaluation'!$A$46:$K$120,8,0)&amp;""</f>
        <v/>
      </c>
      <c r="I285" s="4" t="str">
        <f>VLOOKUP($A285,'Privacy Analyst Evaluation'!$A$46:$K$120,9,0)&amp;""</f>
        <v>Standard Importance</v>
      </c>
      <c r="J285" s="4" t="str">
        <f>VLOOKUP($A285,'Privacy Analyst Evaluation'!$A$46:$K$120,10,0)&amp;""</f>
        <v/>
      </c>
      <c r="K285" s="4">
        <f>IF($I285='Auto Responses'!$J$11,20,IF($I285='Auto Responses'!$J$13,5,10))</f>
        <v>10</v>
      </c>
      <c r="L285" s="105">
        <f>IF($E285='Auto Responses'!$L$13, 'Auto Responses'!$J$5,IF(AND($D285='Auto Responses'!$J$27,$H285=""),'Auto Responses'!$J$5,IF(AND($D285='Auto Responses'!$J$27,$H285='Auto Responses'!$J$7),1,IF(AND($D285='Auto Responses'!$J$27,$H285='Auto Responses'!$J$8),0,IF(OR(AND($F285=$G285,$H285=""),$H285='Auto Responses'!$J$7),1,0)))))</f>
        <v>1</v>
      </c>
      <c r="M285" s="4" t="str">
        <f>VLOOKUP($A285,'Privacy Analyst Evaluation'!$A$46:$K$120,11,0)&amp;""</f>
        <v>FALSE</v>
      </c>
      <c r="N285" s="4">
        <f>IF($J285='Auto Responses'!$J$11,1,IF(AND($J285="",$I285='Auto Responses'!$J$11),1,0))</f>
        <v>0</v>
      </c>
      <c r="O285" s="105">
        <f>IF(OR($E285='Auto Responses'!$L$13,$F$24='Auto Responses'!$J$4,$F285='Auto Responses'!$J$5),'Auto Responses'!$J$5,IF($J285="",$K285,IF($J285='Auto Responses'!$J$13,5,IF($J285='Auto Responses'!$J$12,10,IF($J285='Auto Responses'!$J$11,20,0)))))</f>
        <v>10</v>
      </c>
      <c r="P285" s="105">
        <f>IF(OR($O285='Auto Responses'!$J$5,$L285='Auto Responses'!$J$5),'Auto Responses'!$J$5,$O285*$L285)</f>
        <v>10</v>
      </c>
      <c r="Q285" s="105">
        <f t="shared" si="32"/>
        <v>0</v>
      </c>
      <c r="R285" s="105">
        <f t="shared" si="37"/>
        <v>0</v>
      </c>
      <c r="S285" s="105">
        <f t="shared" si="33"/>
        <v>0</v>
      </c>
      <c r="T285" s="105">
        <f t="shared" si="34"/>
        <v>0</v>
      </c>
      <c r="U285" s="105">
        <f t="shared" si="38"/>
        <v>69</v>
      </c>
      <c r="V285" s="105">
        <f t="shared" si="35"/>
        <v>0</v>
      </c>
    </row>
    <row r="286" spans="1:22" ht="56" x14ac:dyDescent="0.3">
      <c r="A286" s="4" t="str">
        <f>Questions!$A286</f>
        <v>DRPV-07</v>
      </c>
      <c r="B286" s="4" t="str">
        <f t="shared" si="36"/>
        <v>DRPV</v>
      </c>
      <c r="C286" s="4" t="str">
        <f>VLOOKUP($A286,Questions!$A$3:$L$333,2,0)&amp;""</f>
        <v>Do you provide individuals with access to their personal information for review and update (i.e., data subject rights)?</v>
      </c>
      <c r="D286" s="4" t="str">
        <f>VLOOKUP($A286,Questions!$A$3:$L$333,11,0)&amp;""</f>
        <v/>
      </c>
      <c r="E286" s="4" t="str">
        <f>VLOOKUP($A286,Questions!$A$3:$L$333,12,0)&amp;""</f>
        <v>Privacy</v>
      </c>
      <c r="F286" s="4" t="str">
        <f>VLOOKUP($A286,'Privacy Analyst Evaluation'!$A$46:$K$120,3,0)&amp;""</f>
        <v>Yes</v>
      </c>
      <c r="G286" s="4" t="str">
        <f>VLOOKUP($A286,'Privacy Analyst Evaluation'!$A$46:$K$120,7,0)&amp;""</f>
        <v>Yes</v>
      </c>
      <c r="H286" s="4" t="str">
        <f>VLOOKUP($A286,'Privacy Analyst Evaluation'!$A$46:$K$120,8,0)&amp;""</f>
        <v/>
      </c>
      <c r="I286" s="4" t="str">
        <f>VLOOKUP($A286,'Privacy Analyst Evaluation'!$A$46:$K$120,9,0)&amp;""</f>
        <v>Standard Importance</v>
      </c>
      <c r="J286" s="4" t="str">
        <f>VLOOKUP($A286,'Privacy Analyst Evaluation'!$A$46:$K$120,10,0)&amp;""</f>
        <v/>
      </c>
      <c r="K286" s="4">
        <f>IF($I286='Auto Responses'!$J$11,20,IF($I286='Auto Responses'!$J$13,5,10))</f>
        <v>10</v>
      </c>
      <c r="L286" s="105">
        <f>IF($E286='Auto Responses'!$L$13, 'Auto Responses'!$J$5,IF(AND($D286='Auto Responses'!$J$27,$H286=""),'Auto Responses'!$J$5,IF(AND($D286='Auto Responses'!$J$27,$H286='Auto Responses'!$J$7),1,IF(AND($D286='Auto Responses'!$J$27,$H286='Auto Responses'!$J$8),0,IF(OR(AND($F286=$G286,$H286=""),$H286='Auto Responses'!$J$7),1,0)))))</f>
        <v>1</v>
      </c>
      <c r="M286" s="4" t="str">
        <f>VLOOKUP($A286,'Privacy Analyst Evaluation'!$A$46:$K$120,11,0)&amp;""</f>
        <v>FALSE</v>
      </c>
      <c r="N286" s="4">
        <f>IF($J286='Auto Responses'!$J$11,1,IF(AND($J286="",$I286='Auto Responses'!$J$11),1,0))</f>
        <v>0</v>
      </c>
      <c r="O286" s="105">
        <f>IF(OR($E286='Auto Responses'!$L$13,$F$24='Auto Responses'!$J$4,$F286='Auto Responses'!$J$5),'Auto Responses'!$J$5,IF($J286="",$K286,IF($J286='Auto Responses'!$J$13,5,IF($J286='Auto Responses'!$J$12,10,IF($J286='Auto Responses'!$J$11,20,0)))))</f>
        <v>10</v>
      </c>
      <c r="P286" s="105">
        <f>IF(OR($O286='Auto Responses'!$J$5,$L286='Auto Responses'!$J$5),'Auto Responses'!$J$5,$O286*$L286)</f>
        <v>10</v>
      </c>
      <c r="Q286" s="105">
        <f t="shared" si="32"/>
        <v>0</v>
      </c>
      <c r="R286" s="105">
        <f t="shared" si="37"/>
        <v>0</v>
      </c>
      <c r="S286" s="105">
        <f t="shared" si="33"/>
        <v>0</v>
      </c>
      <c r="T286" s="105">
        <f t="shared" si="34"/>
        <v>0</v>
      </c>
      <c r="U286" s="105">
        <f t="shared" si="38"/>
        <v>69</v>
      </c>
      <c r="V286" s="105">
        <f t="shared" si="35"/>
        <v>0</v>
      </c>
    </row>
    <row r="287" spans="1:22" ht="56" x14ac:dyDescent="0.3">
      <c r="A287" s="4" t="str">
        <f>Questions!$A287</f>
        <v>DRPV-08</v>
      </c>
      <c r="B287" s="4" t="str">
        <f t="shared" si="36"/>
        <v>DRPV</v>
      </c>
      <c r="C287" s="4" t="str">
        <f>VLOOKUP($A287,Questions!$A$3:$L$333,2,0)&amp;""</f>
        <v>Do you disclose personal information to third parties only for the purpose(s) identified in the privacy notice or with the implicit or explicit consent of the individual?</v>
      </c>
      <c r="D287" s="4" t="str">
        <f>VLOOKUP($A287,Questions!$A$3:$L$333,11,0)&amp;""</f>
        <v/>
      </c>
      <c r="E287" s="4" t="str">
        <f>VLOOKUP($A287,Questions!$A$3:$L$333,12,0)&amp;""</f>
        <v>Privacy</v>
      </c>
      <c r="F287" s="4" t="str">
        <f>VLOOKUP($A287,'Privacy Analyst Evaluation'!$A$46:$K$120,3,0)&amp;""</f>
        <v>Yes</v>
      </c>
      <c r="G287" s="4" t="str">
        <f>VLOOKUP($A287,'Privacy Analyst Evaluation'!$A$46:$K$120,7,0)&amp;""</f>
        <v>Yes</v>
      </c>
      <c r="H287" s="4" t="str">
        <f>VLOOKUP($A287,'Privacy Analyst Evaluation'!$A$46:$K$120,8,0)&amp;""</f>
        <v/>
      </c>
      <c r="I287" s="4" t="str">
        <f>VLOOKUP($A287,'Privacy Analyst Evaluation'!$A$46:$K$120,9,0)&amp;""</f>
        <v>Standard Importance</v>
      </c>
      <c r="J287" s="4" t="str">
        <f>VLOOKUP($A287,'Privacy Analyst Evaluation'!$A$46:$K$120,10,0)&amp;""</f>
        <v/>
      </c>
      <c r="K287" s="4">
        <f>IF($I287='Auto Responses'!$J$11,20,IF($I287='Auto Responses'!$J$13,5,10))</f>
        <v>10</v>
      </c>
      <c r="L287" s="105">
        <f>IF($E287='Auto Responses'!$L$13, 'Auto Responses'!$J$5,IF(AND($D287='Auto Responses'!$J$27,$H287=""),'Auto Responses'!$J$5,IF(AND($D287='Auto Responses'!$J$27,$H287='Auto Responses'!$J$7),1,IF(AND($D287='Auto Responses'!$J$27,$H287='Auto Responses'!$J$8),0,IF(OR(AND($F287=$G287,$H287=""),$H287='Auto Responses'!$J$7),1,0)))))</f>
        <v>1</v>
      </c>
      <c r="M287" s="4" t="str">
        <f>VLOOKUP($A287,'Privacy Analyst Evaluation'!$A$46:$K$120,11,0)&amp;""</f>
        <v>FALSE</v>
      </c>
      <c r="N287" s="4">
        <f>IF($J287='Auto Responses'!$J$11,1,IF(AND($J287="",$I287='Auto Responses'!$J$11),1,0))</f>
        <v>0</v>
      </c>
      <c r="O287" s="105">
        <f>IF(OR($E287='Auto Responses'!$L$13,$F$24='Auto Responses'!$J$4,$F287='Auto Responses'!$J$5),'Auto Responses'!$J$5,IF($J287="",$K287,IF($J287='Auto Responses'!$J$13,5,IF($J287='Auto Responses'!$J$12,10,IF($J287='Auto Responses'!$J$11,20,0)))))</f>
        <v>10</v>
      </c>
      <c r="P287" s="105">
        <f>IF(OR($O287='Auto Responses'!$J$5,$L287='Auto Responses'!$J$5),'Auto Responses'!$J$5,$O287*$L287)</f>
        <v>10</v>
      </c>
      <c r="Q287" s="105">
        <f t="shared" si="32"/>
        <v>0</v>
      </c>
      <c r="R287" s="105">
        <f t="shared" si="37"/>
        <v>0</v>
      </c>
      <c r="S287" s="105">
        <f t="shared" si="33"/>
        <v>0</v>
      </c>
      <c r="T287" s="105">
        <f t="shared" si="34"/>
        <v>0</v>
      </c>
      <c r="U287" s="105">
        <f t="shared" si="38"/>
        <v>69</v>
      </c>
      <c r="V287" s="105">
        <f t="shared" si="35"/>
        <v>0</v>
      </c>
    </row>
    <row r="288" spans="1:22" ht="56" x14ac:dyDescent="0.3">
      <c r="A288" s="4" t="str">
        <f>Questions!$A288</f>
        <v>DRPV-09</v>
      </c>
      <c r="B288" s="4" t="str">
        <f t="shared" si="36"/>
        <v>DRPV</v>
      </c>
      <c r="C288" s="4" t="str">
        <f>VLOOKUP($A288,Questions!$A$3:$L$333,2,0)&amp;""</f>
        <v>Do you protect personal information against unauthorized access (both physical and logical)?</v>
      </c>
      <c r="D288" s="4" t="str">
        <f>VLOOKUP($A288,Questions!$A$3:$L$333,11,0)&amp;""</f>
        <v/>
      </c>
      <c r="E288" s="4" t="str">
        <f>VLOOKUP($A288,Questions!$A$3:$L$333,12,0)&amp;""</f>
        <v>Privacy</v>
      </c>
      <c r="F288" s="4" t="str">
        <f>VLOOKUP($A288,'Privacy Analyst Evaluation'!$A$46:$K$120,3,0)&amp;""</f>
        <v>Yes</v>
      </c>
      <c r="G288" s="4" t="str">
        <f>VLOOKUP($A288,'Privacy Analyst Evaluation'!$A$46:$K$120,7,0)&amp;""</f>
        <v>Yes</v>
      </c>
      <c r="H288" s="4" t="str">
        <f>VLOOKUP($A288,'Privacy Analyst Evaluation'!$A$46:$K$120,8,0)&amp;""</f>
        <v/>
      </c>
      <c r="I288" s="4" t="str">
        <f>VLOOKUP($A288,'Privacy Analyst Evaluation'!$A$46:$K$120,9,0)&amp;""</f>
        <v>Standard Importance</v>
      </c>
      <c r="J288" s="4" t="str">
        <f>VLOOKUP($A288,'Privacy Analyst Evaluation'!$A$46:$K$120,10,0)&amp;""</f>
        <v/>
      </c>
      <c r="K288" s="4">
        <f>IF($I288='Auto Responses'!$J$11,20,IF($I288='Auto Responses'!$J$13,5,10))</f>
        <v>10</v>
      </c>
      <c r="L288" s="105">
        <f>IF($E288='Auto Responses'!$L$13, 'Auto Responses'!$J$5,IF(AND($D288='Auto Responses'!$J$27,$H288=""),'Auto Responses'!$J$5,IF(AND($D288='Auto Responses'!$J$27,$H288='Auto Responses'!$J$7),1,IF(AND($D288='Auto Responses'!$J$27,$H288='Auto Responses'!$J$8),0,IF(OR(AND($F288=$G288,$H288=""),$H288='Auto Responses'!$J$7),1,0)))))</f>
        <v>1</v>
      </c>
      <c r="M288" s="4" t="str">
        <f>VLOOKUP($A288,'Privacy Analyst Evaluation'!$A$46:$K$120,11,0)&amp;""</f>
        <v>FALSE</v>
      </c>
      <c r="N288" s="4">
        <f>IF($J288='Auto Responses'!$J$11,1,IF(AND($J288="",$I288='Auto Responses'!$J$11),1,0))</f>
        <v>0</v>
      </c>
      <c r="O288" s="105">
        <f>IF(OR($E288='Auto Responses'!$L$13,$F$24='Auto Responses'!$J$4,$F288='Auto Responses'!$J$5),'Auto Responses'!$J$5,IF($J288="",$K288,IF($J288='Auto Responses'!$J$13,5,IF($J288='Auto Responses'!$J$12,10,IF($J288='Auto Responses'!$J$11,20,0)))))</f>
        <v>10</v>
      </c>
      <c r="P288" s="105">
        <f>IF(OR($O288='Auto Responses'!$J$5,$L288='Auto Responses'!$J$5),'Auto Responses'!$J$5,$O288*$L288)</f>
        <v>10</v>
      </c>
      <c r="Q288" s="105">
        <f t="shared" si="32"/>
        <v>0</v>
      </c>
      <c r="R288" s="105">
        <f t="shared" si="37"/>
        <v>0</v>
      </c>
      <c r="S288" s="105">
        <f t="shared" si="33"/>
        <v>0</v>
      </c>
      <c r="T288" s="105">
        <f t="shared" si="34"/>
        <v>0</v>
      </c>
      <c r="U288" s="105">
        <f t="shared" si="38"/>
        <v>69</v>
      </c>
      <c r="V288" s="105">
        <f t="shared" si="35"/>
        <v>0</v>
      </c>
    </row>
    <row r="289" spans="1:22" ht="56" x14ac:dyDescent="0.3">
      <c r="A289" s="4" t="str">
        <f>Questions!$A289</f>
        <v>DRPV-10</v>
      </c>
      <c r="B289" s="4" t="str">
        <f t="shared" si="36"/>
        <v>DRPV</v>
      </c>
      <c r="C289" s="4" t="str">
        <f>VLOOKUP($A289,Questions!$A$3:$L$333,2,0)&amp;""</f>
        <v>Do you maintain accurate, complete, and relevant personal information for the purposes identified in the privacy notice?</v>
      </c>
      <c r="D289" s="4" t="str">
        <f>VLOOKUP($A289,Questions!$A$3:$L$333,11,0)&amp;""</f>
        <v/>
      </c>
      <c r="E289" s="4" t="str">
        <f>VLOOKUP($A289,Questions!$A$3:$L$333,12,0)&amp;""</f>
        <v>Privacy</v>
      </c>
      <c r="F289" s="4" t="str">
        <f>VLOOKUP($A289,'Privacy Analyst Evaluation'!$A$46:$K$120,3,0)&amp;""</f>
        <v>Yes</v>
      </c>
      <c r="G289" s="4" t="str">
        <f>VLOOKUP($A289,'Privacy Analyst Evaluation'!$A$46:$K$120,7,0)&amp;""</f>
        <v>Yes</v>
      </c>
      <c r="H289" s="4" t="str">
        <f>VLOOKUP($A289,'Privacy Analyst Evaluation'!$A$46:$K$120,8,0)&amp;""</f>
        <v/>
      </c>
      <c r="I289" s="4" t="str">
        <f>VLOOKUP($A289,'Privacy Analyst Evaluation'!$A$46:$K$120,9,0)&amp;""</f>
        <v>Standard Importance</v>
      </c>
      <c r="J289" s="4" t="str">
        <f>VLOOKUP($A289,'Privacy Analyst Evaluation'!$A$46:$K$120,10,0)&amp;""</f>
        <v/>
      </c>
      <c r="K289" s="4">
        <f>IF($I289='Auto Responses'!$J$11,20,IF($I289='Auto Responses'!$J$13,5,10))</f>
        <v>10</v>
      </c>
      <c r="L289" s="105">
        <f>IF($E289='Auto Responses'!$L$13, 'Auto Responses'!$J$5,IF(AND($D289='Auto Responses'!$J$27,$H289=""),'Auto Responses'!$J$5,IF(AND($D289='Auto Responses'!$J$27,$H289='Auto Responses'!$J$7),1,IF(AND($D289='Auto Responses'!$J$27,$H289='Auto Responses'!$J$8),0,IF(OR(AND($F289=$G289,$H289=""),$H289='Auto Responses'!$J$7),1,0)))))</f>
        <v>1</v>
      </c>
      <c r="M289" s="4" t="str">
        <f>VLOOKUP($A289,'Privacy Analyst Evaluation'!$A$46:$K$120,11,0)&amp;""</f>
        <v>FALSE</v>
      </c>
      <c r="N289" s="4">
        <f>IF($J289='Auto Responses'!$J$11,1,IF(AND($J289="",$I289='Auto Responses'!$J$11),1,0))</f>
        <v>0</v>
      </c>
      <c r="O289" s="105">
        <f>IF(OR($E289='Auto Responses'!$L$13,$F$24='Auto Responses'!$J$4,$F289='Auto Responses'!$J$5),'Auto Responses'!$J$5,IF($J289="",$K289,IF($J289='Auto Responses'!$J$13,5,IF($J289='Auto Responses'!$J$12,10,IF($J289='Auto Responses'!$J$11,20,0)))))</f>
        <v>10</v>
      </c>
      <c r="P289" s="105">
        <f>IF(OR($O289='Auto Responses'!$J$5,$L289='Auto Responses'!$J$5),'Auto Responses'!$J$5,$O289*$L289)</f>
        <v>10</v>
      </c>
      <c r="Q289" s="105">
        <f t="shared" si="32"/>
        <v>0</v>
      </c>
      <c r="R289" s="105">
        <f t="shared" si="37"/>
        <v>0</v>
      </c>
      <c r="S289" s="105">
        <f t="shared" si="33"/>
        <v>0</v>
      </c>
      <c r="T289" s="105">
        <f t="shared" si="34"/>
        <v>0</v>
      </c>
      <c r="U289" s="105">
        <f t="shared" si="38"/>
        <v>69</v>
      </c>
      <c r="V289" s="105">
        <f t="shared" si="35"/>
        <v>0</v>
      </c>
    </row>
    <row r="290" spans="1:22" ht="56" x14ac:dyDescent="0.3">
      <c r="A290" s="4" t="str">
        <f>Questions!$A290</f>
        <v>DRPV-11</v>
      </c>
      <c r="B290" s="4" t="str">
        <f t="shared" si="36"/>
        <v>DRPV</v>
      </c>
      <c r="C290" s="4" t="str">
        <f>VLOOKUP($A290,Questions!$A$3:$L$333,2,0)&amp;""</f>
        <v>Do you have procedures to address privacy-related noncompliance complaints and disputes?</v>
      </c>
      <c r="D290" s="4" t="str">
        <f>VLOOKUP($A290,Questions!$A$3:$L$333,11,0)&amp;""</f>
        <v/>
      </c>
      <c r="E290" s="4" t="str">
        <f>VLOOKUP($A290,Questions!$A$3:$L$333,12,0)&amp;""</f>
        <v>Privacy</v>
      </c>
      <c r="F290" s="4" t="str">
        <f>VLOOKUP($A290,'Privacy Analyst Evaluation'!$A$46:$K$120,3,0)&amp;""</f>
        <v>Yes</v>
      </c>
      <c r="G290" s="4" t="str">
        <f>VLOOKUP($A290,'Privacy Analyst Evaluation'!$A$46:$K$120,7,0)&amp;""</f>
        <v>Yes</v>
      </c>
      <c r="H290" s="4" t="str">
        <f>VLOOKUP($A290,'Privacy Analyst Evaluation'!$A$46:$K$120,8,0)&amp;""</f>
        <v/>
      </c>
      <c r="I290" s="4" t="str">
        <f>VLOOKUP($A290,'Privacy Analyst Evaluation'!$A$46:$K$120,9,0)&amp;""</f>
        <v>Standard Importance</v>
      </c>
      <c r="J290" s="4" t="str">
        <f>VLOOKUP($A290,'Privacy Analyst Evaluation'!$A$46:$K$120,10,0)&amp;""</f>
        <v/>
      </c>
      <c r="K290" s="4">
        <f>IF($I290='Auto Responses'!$J$11,20,IF($I290='Auto Responses'!$J$13,5,10))</f>
        <v>10</v>
      </c>
      <c r="L290" s="105">
        <f>IF($E290='Auto Responses'!$L$13, 'Auto Responses'!$J$5,IF(AND($D290='Auto Responses'!$J$27,$H290=""),'Auto Responses'!$J$5,IF(AND($D290='Auto Responses'!$J$27,$H290='Auto Responses'!$J$7),1,IF(AND($D290='Auto Responses'!$J$27,$H290='Auto Responses'!$J$8),0,IF(OR(AND($F290=$G290,$H290=""),$H290='Auto Responses'!$J$7),1,0)))))</f>
        <v>1</v>
      </c>
      <c r="M290" s="4" t="str">
        <f>VLOOKUP($A290,'Privacy Analyst Evaluation'!$A$46:$K$120,11,0)&amp;""</f>
        <v>FALSE</v>
      </c>
      <c r="N290" s="4">
        <f>IF($J290='Auto Responses'!$J$11,1,IF(AND($J290="",$I290='Auto Responses'!$J$11),1,0))</f>
        <v>0</v>
      </c>
      <c r="O290" s="105">
        <f>IF(OR($E290='Auto Responses'!$L$13,$F$24='Auto Responses'!$J$4,$F290='Auto Responses'!$J$5),'Auto Responses'!$J$5,IF($J290="",$K290,IF($J290='Auto Responses'!$J$13,5,IF($J290='Auto Responses'!$J$12,10,IF($J290='Auto Responses'!$J$11,20,0)))))</f>
        <v>10</v>
      </c>
      <c r="P290" s="105">
        <f>IF(OR($O290='Auto Responses'!$J$5,$L290='Auto Responses'!$J$5),'Auto Responses'!$J$5,$O290*$L290)</f>
        <v>10</v>
      </c>
      <c r="Q290" s="105">
        <f t="shared" si="32"/>
        <v>0</v>
      </c>
      <c r="R290" s="105">
        <f t="shared" si="37"/>
        <v>0</v>
      </c>
      <c r="S290" s="105">
        <f t="shared" si="33"/>
        <v>0</v>
      </c>
      <c r="T290" s="105">
        <f t="shared" si="34"/>
        <v>0</v>
      </c>
      <c r="U290" s="105">
        <f t="shared" si="38"/>
        <v>69</v>
      </c>
      <c r="V290" s="105">
        <f t="shared" si="35"/>
        <v>0</v>
      </c>
    </row>
    <row r="291" spans="1:22" ht="56" x14ac:dyDescent="0.3">
      <c r="A291" s="4" t="str">
        <f>Questions!$A291</f>
        <v>DRPV-12</v>
      </c>
      <c r="B291" s="4" t="str">
        <f t="shared" si="36"/>
        <v>DRPV</v>
      </c>
      <c r="C291" s="4" t="str">
        <f>VLOOKUP($A291,Questions!$A$3:$L$333,2,0)&amp;""</f>
        <v>Do you "anonymize," "de-identify," or otherwise mask personal data?</v>
      </c>
      <c r="D291" s="4" t="str">
        <f>VLOOKUP($A291,Questions!$A$3:$L$333,11,0)&amp;""</f>
        <v/>
      </c>
      <c r="E291" s="4" t="str">
        <f>VLOOKUP($A291,Questions!$A$3:$L$333,12,0)&amp;""</f>
        <v>Privacy</v>
      </c>
      <c r="F291" s="4" t="str">
        <f>VLOOKUP($A291,'Privacy Analyst Evaluation'!$A$46:$K$120,3,0)&amp;""</f>
        <v>No</v>
      </c>
      <c r="G291" s="4" t="str">
        <f>VLOOKUP($A291,'Privacy Analyst Evaluation'!$A$46:$K$120,7,0)&amp;""</f>
        <v>Yes</v>
      </c>
      <c r="H291" s="4" t="str">
        <f>VLOOKUP($A291,'Privacy Analyst Evaluation'!$A$46:$K$120,8,0)&amp;""</f>
        <v/>
      </c>
      <c r="I291" s="4" t="str">
        <f>VLOOKUP($A291,'Privacy Analyst Evaluation'!$A$46:$K$120,9,0)&amp;""</f>
        <v>Standard Importance</v>
      </c>
      <c r="J291" s="4" t="str">
        <f>VLOOKUP($A291,'Privacy Analyst Evaluation'!$A$46:$K$120,10,0)&amp;""</f>
        <v/>
      </c>
      <c r="K291" s="4">
        <f>IF($I291='Auto Responses'!$J$11,20,IF($I291='Auto Responses'!$J$13,5,10))</f>
        <v>10</v>
      </c>
      <c r="L291" s="105">
        <f>IF($E291='Auto Responses'!$L$13, 'Auto Responses'!$J$5,IF(AND($D291='Auto Responses'!$J$27,$H291=""),'Auto Responses'!$J$5,IF(AND($D291='Auto Responses'!$J$27,$H291='Auto Responses'!$J$7),1,IF(AND($D291='Auto Responses'!$J$27,$H291='Auto Responses'!$J$8),0,IF(OR(AND($F291=$G291,$H291=""),$H291='Auto Responses'!$J$7),1,0)))))</f>
        <v>0</v>
      </c>
      <c r="M291" s="4" t="str">
        <f>VLOOKUP($A291,'Privacy Analyst Evaluation'!$A$46:$K$120,11,0)&amp;""</f>
        <v>FALSE</v>
      </c>
      <c r="N291" s="4">
        <f>IF($J291='Auto Responses'!$J$11,1,IF(AND($J291="",$I291='Auto Responses'!$J$11),1,0))</f>
        <v>0</v>
      </c>
      <c r="O291" s="105">
        <f>IF(OR($E291='Auto Responses'!$L$13,$F$24='Auto Responses'!$J$4,$F291='Auto Responses'!$J$5),'Auto Responses'!$J$5,IF($J291="",$K291,IF($J291='Auto Responses'!$J$13,5,IF($J291='Auto Responses'!$J$12,10,IF($J291='Auto Responses'!$J$11,20,0)))))</f>
        <v>10</v>
      </c>
      <c r="P291" s="105">
        <f>IF(OR($O291='Auto Responses'!$J$5,$L291='Auto Responses'!$J$5),'Auto Responses'!$J$5,$O291*$L291)</f>
        <v>0</v>
      </c>
      <c r="Q291" s="105">
        <f t="shared" si="32"/>
        <v>0</v>
      </c>
      <c r="R291" s="105">
        <f t="shared" si="37"/>
        <v>0</v>
      </c>
      <c r="S291" s="105">
        <f t="shared" si="33"/>
        <v>0</v>
      </c>
      <c r="T291" s="105">
        <f t="shared" si="34"/>
        <v>0</v>
      </c>
      <c r="U291" s="105">
        <f t="shared" si="38"/>
        <v>69</v>
      </c>
      <c r="V291" s="105">
        <f t="shared" si="35"/>
        <v>0</v>
      </c>
    </row>
    <row r="292" spans="1:22" ht="98" x14ac:dyDescent="0.3">
      <c r="A292" s="4" t="str">
        <f>Questions!$A292</f>
        <v>DRPV-13</v>
      </c>
      <c r="B292" s="4" t="str">
        <f t="shared" si="36"/>
        <v>DRPV</v>
      </c>
      <c r="C292" s="4" t="str">
        <f>VLOOKUP($A292,Questions!$A$3:$L$333,2,0)&amp;""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D292" s="4" t="str">
        <f>VLOOKUP($A292,Questions!$A$3:$L$333,11,0)&amp;""</f>
        <v/>
      </c>
      <c r="E292" s="4" t="str">
        <f>VLOOKUP($A292,Questions!$A$3:$L$333,12,0)&amp;""</f>
        <v>Privacy</v>
      </c>
      <c r="F292" s="4" t="str">
        <f>VLOOKUP($A292,'Privacy Analyst Evaluation'!$A$46:$K$120,3,0)&amp;""</f>
        <v>No</v>
      </c>
      <c r="G292" s="4" t="str">
        <f>VLOOKUP($A292,'Privacy Analyst Evaluation'!$A$46:$K$120,7,0)&amp;""</f>
        <v>No</v>
      </c>
      <c r="H292" s="4" t="str">
        <f>VLOOKUP($A292,'Privacy Analyst Evaluation'!$A$46:$K$120,8,0)&amp;""</f>
        <v/>
      </c>
      <c r="I292" s="4" t="str">
        <f>VLOOKUP($A292,'Privacy Analyst Evaluation'!$A$46:$K$120,9,0)&amp;""</f>
        <v>Standard Importance</v>
      </c>
      <c r="J292" s="4" t="str">
        <f>VLOOKUP($A292,'Privacy Analyst Evaluation'!$A$46:$K$120,10,0)&amp;""</f>
        <v/>
      </c>
      <c r="K292" s="4">
        <f>IF($I292='Auto Responses'!$J$11,20,IF($I292='Auto Responses'!$J$13,5,10))</f>
        <v>10</v>
      </c>
      <c r="L292" s="105">
        <f>IF($E292='Auto Responses'!$L$13, 'Auto Responses'!$J$5,IF(AND($D292='Auto Responses'!$J$27,$H292=""),'Auto Responses'!$J$5,IF(AND($D292='Auto Responses'!$J$27,$H292='Auto Responses'!$J$7),1,IF(AND($D292='Auto Responses'!$J$27,$H292='Auto Responses'!$J$8),0,IF(OR(AND($F292=$G292,$H292=""),$H292='Auto Responses'!$J$7),1,0)))))</f>
        <v>1</v>
      </c>
      <c r="M292" s="4" t="str">
        <f>VLOOKUP($A292,'Privacy Analyst Evaluation'!$A$46:$K$120,11,0)&amp;""</f>
        <v>FALSE</v>
      </c>
      <c r="N292" s="4">
        <f>IF($J292='Auto Responses'!$J$11,1,IF(AND($J292="",$I292='Auto Responses'!$J$11),1,0))</f>
        <v>0</v>
      </c>
      <c r="O292" s="105">
        <f>IF(OR($E292='Auto Responses'!$L$13,$F$24='Auto Responses'!$J$4,$F292='Auto Responses'!$J$5),'Auto Responses'!$J$5,IF($J292="",$K292,IF($J292='Auto Responses'!$J$13,5,IF($J292='Auto Responses'!$J$12,10,IF($J292='Auto Responses'!$J$11,20,0)))))</f>
        <v>10</v>
      </c>
      <c r="P292" s="105">
        <f>IF(OR($O292='Auto Responses'!$J$5,$L292='Auto Responses'!$J$5),'Auto Responses'!$J$5,$O292*$L292)</f>
        <v>10</v>
      </c>
      <c r="Q292" s="105">
        <f t="shared" si="32"/>
        <v>0</v>
      </c>
      <c r="R292" s="105">
        <f t="shared" si="37"/>
        <v>0</v>
      </c>
      <c r="S292" s="105">
        <f t="shared" si="33"/>
        <v>0</v>
      </c>
      <c r="T292" s="105">
        <f t="shared" si="34"/>
        <v>0</v>
      </c>
      <c r="U292" s="105">
        <f t="shared" si="38"/>
        <v>69</v>
      </c>
      <c r="V292" s="105">
        <f t="shared" si="35"/>
        <v>0</v>
      </c>
    </row>
    <row r="293" spans="1:22" ht="56" x14ac:dyDescent="0.3">
      <c r="A293" s="4" t="str">
        <f>Questions!$A293</f>
        <v>DRPV-14</v>
      </c>
      <c r="B293" s="4" t="str">
        <f t="shared" si="36"/>
        <v>DRPV</v>
      </c>
      <c r="C293" s="4" t="str">
        <f>VLOOKUP($A293,Questions!$A$3:$L$333,2,0)&amp;""</f>
        <v>Do you certify stop-processing requests, including any data that is processed by a third party on your behalf?</v>
      </c>
      <c r="D293" s="4" t="str">
        <f>VLOOKUP($A293,Questions!$A$3:$L$333,11,0)&amp;""</f>
        <v/>
      </c>
      <c r="E293" s="4" t="str">
        <f>VLOOKUP($A293,Questions!$A$3:$L$333,12,0)&amp;""</f>
        <v>Privacy</v>
      </c>
      <c r="F293" s="4" t="str">
        <f>VLOOKUP($A293,'Privacy Analyst Evaluation'!$A$46:$K$120,3,0)&amp;""</f>
        <v>Yes</v>
      </c>
      <c r="G293" s="4" t="str">
        <f>VLOOKUP($A293,'Privacy Analyst Evaluation'!$A$46:$K$120,7,0)&amp;""</f>
        <v>Yes</v>
      </c>
      <c r="H293" s="4" t="str">
        <f>VLOOKUP($A293,'Privacy Analyst Evaluation'!$A$46:$K$120,8,0)&amp;""</f>
        <v/>
      </c>
      <c r="I293" s="4" t="str">
        <f>VLOOKUP($A293,'Privacy Analyst Evaluation'!$A$46:$K$120,9,0)&amp;""</f>
        <v>Standard Importance</v>
      </c>
      <c r="J293" s="4" t="str">
        <f>VLOOKUP($A293,'Privacy Analyst Evaluation'!$A$46:$K$120,10,0)&amp;""</f>
        <v/>
      </c>
      <c r="K293" s="4">
        <f>IF($I293='Auto Responses'!$J$11,20,IF($I293='Auto Responses'!$J$13,5,10))</f>
        <v>10</v>
      </c>
      <c r="L293" s="105">
        <f>IF($E293='Auto Responses'!$L$13, 'Auto Responses'!$J$5,IF(AND($D293='Auto Responses'!$J$27,$H293=""),'Auto Responses'!$J$5,IF(AND($D293='Auto Responses'!$J$27,$H293='Auto Responses'!$J$7),1,IF(AND($D293='Auto Responses'!$J$27,$H293='Auto Responses'!$J$8),0,IF(OR(AND($F293=$G293,$H293=""),$H293='Auto Responses'!$J$7),1,0)))))</f>
        <v>1</v>
      </c>
      <c r="M293" s="4" t="str">
        <f>VLOOKUP($A293,'Privacy Analyst Evaluation'!$A$46:$K$120,11,0)&amp;""</f>
        <v>FALSE</v>
      </c>
      <c r="N293" s="4">
        <f>IF($J293='Auto Responses'!$J$11,1,IF(AND($J293="",$I293='Auto Responses'!$J$11),1,0))</f>
        <v>0</v>
      </c>
      <c r="O293" s="105">
        <f>IF(OR($E293='Auto Responses'!$L$13,$F$24='Auto Responses'!$J$4,$F293='Auto Responses'!$J$5),'Auto Responses'!$J$5,IF($J293="",$K293,IF($J293='Auto Responses'!$J$13,5,IF($J293='Auto Responses'!$J$12,10,IF($J293='Auto Responses'!$J$11,20,0)))))</f>
        <v>10</v>
      </c>
      <c r="P293" s="105">
        <f>IF(OR($O293='Auto Responses'!$J$5,$L293='Auto Responses'!$J$5),'Auto Responses'!$J$5,$O293*$L293)</f>
        <v>10</v>
      </c>
      <c r="Q293" s="105">
        <f t="shared" si="32"/>
        <v>0</v>
      </c>
      <c r="R293" s="105">
        <f t="shared" si="37"/>
        <v>0</v>
      </c>
      <c r="S293" s="105">
        <f t="shared" si="33"/>
        <v>0</v>
      </c>
      <c r="T293" s="105">
        <f t="shared" si="34"/>
        <v>0</v>
      </c>
      <c r="U293" s="105">
        <f t="shared" si="38"/>
        <v>69</v>
      </c>
      <c r="V293" s="105">
        <f t="shared" si="35"/>
        <v>0</v>
      </c>
    </row>
    <row r="294" spans="1:22" ht="56" x14ac:dyDescent="0.3">
      <c r="A294" s="4" t="str">
        <f>Questions!$A294</f>
        <v>DRPV-15</v>
      </c>
      <c r="B294" s="4" t="str">
        <f t="shared" si="36"/>
        <v>DRPV</v>
      </c>
      <c r="C294" s="4" t="str">
        <f>VLOOKUP($A294,Questions!$A$3:$L$333,2,0)&amp;""</f>
        <v>Do you have a process to review code for ethical considerations?</v>
      </c>
      <c r="D294" s="4" t="str">
        <f>VLOOKUP($A294,Questions!$A$3:$L$333,11,0)&amp;""</f>
        <v/>
      </c>
      <c r="E294" s="4" t="str">
        <f>VLOOKUP($A294,Questions!$A$3:$L$333,12,0)&amp;""</f>
        <v>Privacy</v>
      </c>
      <c r="F294" s="4" t="str">
        <f>VLOOKUP($A294,'Privacy Analyst Evaluation'!$A$46:$K$120,3,0)&amp;""</f>
        <v>Yes</v>
      </c>
      <c r="G294" s="4" t="str">
        <f>VLOOKUP($A294,'Privacy Analyst Evaluation'!$A$46:$K$120,7,0)&amp;""</f>
        <v>Yes</v>
      </c>
      <c r="H294" s="4" t="str">
        <f>VLOOKUP($A294,'Privacy Analyst Evaluation'!$A$46:$K$120,8,0)&amp;""</f>
        <v/>
      </c>
      <c r="I294" s="4" t="str">
        <f>VLOOKUP($A294,'Privacy Analyst Evaluation'!$A$46:$K$120,9,0)&amp;""</f>
        <v>Standard Importance</v>
      </c>
      <c r="J294" s="4" t="str">
        <f>VLOOKUP($A294,'Privacy Analyst Evaluation'!$A$46:$K$120,10,0)&amp;""</f>
        <v/>
      </c>
      <c r="K294" s="4">
        <f>IF($I294='Auto Responses'!$J$11,20,IF($I294='Auto Responses'!$J$13,5,10))</f>
        <v>10</v>
      </c>
      <c r="L294" s="105">
        <f>IF($E294='Auto Responses'!$L$13, 'Auto Responses'!$J$5,IF(AND($D294='Auto Responses'!$J$27,$H294=""),'Auto Responses'!$J$5,IF(AND($D294='Auto Responses'!$J$27,$H294='Auto Responses'!$J$7),1,IF(AND($D294='Auto Responses'!$J$27,$H294='Auto Responses'!$J$8),0,IF(OR(AND($F294=$G294,$H294=""),$H294='Auto Responses'!$J$7),1,0)))))</f>
        <v>1</v>
      </c>
      <c r="M294" s="4" t="str">
        <f>VLOOKUP($A294,'Privacy Analyst Evaluation'!$A$46:$K$120,11,0)&amp;""</f>
        <v>FALSE</v>
      </c>
      <c r="N294" s="4">
        <f>IF($J294='Auto Responses'!$J$11,1,IF(AND($J294="",$I294='Auto Responses'!$J$11),1,0))</f>
        <v>0</v>
      </c>
      <c r="O294" s="105">
        <f>IF(OR($E294='Auto Responses'!$L$13,$F$24='Auto Responses'!$J$4,$F294='Auto Responses'!$J$5),'Auto Responses'!$J$5,IF($J294="",$K294,IF($J294='Auto Responses'!$J$13,5,IF($J294='Auto Responses'!$J$12,10,IF($J294='Auto Responses'!$J$11,20,0)))))</f>
        <v>10</v>
      </c>
      <c r="P294" s="105">
        <f>IF(OR($O294='Auto Responses'!$J$5,$L294='Auto Responses'!$J$5),'Auto Responses'!$J$5,$O294*$L294)</f>
        <v>10</v>
      </c>
      <c r="Q294" s="105">
        <f t="shared" si="32"/>
        <v>0</v>
      </c>
      <c r="R294" s="105">
        <f t="shared" si="37"/>
        <v>0</v>
      </c>
      <c r="S294" s="105">
        <f t="shared" si="33"/>
        <v>0</v>
      </c>
      <c r="T294" s="105">
        <f t="shared" si="34"/>
        <v>0</v>
      </c>
      <c r="U294" s="105">
        <f t="shared" si="38"/>
        <v>69</v>
      </c>
      <c r="V294" s="105">
        <f t="shared" si="35"/>
        <v>0</v>
      </c>
    </row>
    <row r="295" spans="1:22" ht="56" x14ac:dyDescent="0.3">
      <c r="A295" s="4" t="str">
        <f>Questions!$A295</f>
        <v>DPAI-01</v>
      </c>
      <c r="B295" s="4" t="str">
        <f t="shared" si="36"/>
        <v>DPAI</v>
      </c>
      <c r="C295" s="4" t="str">
        <f>VLOOKUP($A295,Questions!$A$3:$L$333,2,0)&amp;""</f>
        <v>Does your service use AI for the processing of institutional data?</v>
      </c>
      <c r="D295" s="4" t="str">
        <f>VLOOKUP($A295,Questions!$A$3:$L$333,11,0)&amp;""</f>
        <v/>
      </c>
      <c r="E295" s="4" t="str">
        <f>VLOOKUP($A295,Questions!$A$3:$L$333,12,0)&amp;""</f>
        <v>Privacy</v>
      </c>
      <c r="F295" s="4" t="str">
        <f>VLOOKUP($A295,'Privacy Analyst Evaluation'!$A$46:$K$120,3,0)&amp;""</f>
        <v>Yes</v>
      </c>
      <c r="G295" s="4" t="str">
        <f>VLOOKUP($A295,'Privacy Analyst Evaluation'!$A$46:$K$120,7,0)&amp;""</f>
        <v>No</v>
      </c>
      <c r="H295" s="4" t="str">
        <f>VLOOKUP($A295,'Privacy Analyst Evaluation'!$A$46:$K$120,8,0)&amp;""</f>
        <v/>
      </c>
      <c r="I295" s="4" t="str">
        <f>VLOOKUP($A295,'Privacy Analyst Evaluation'!$A$46:$K$120,9,0)&amp;""</f>
        <v>Standard Importance</v>
      </c>
      <c r="J295" s="4" t="str">
        <f>VLOOKUP($A295,'Privacy Analyst Evaluation'!$A$46:$K$120,10,0)&amp;""</f>
        <v/>
      </c>
      <c r="K295" s="4">
        <f>IF($I295='Auto Responses'!$J$11,20,IF($I295='Auto Responses'!$J$13,5,10))</f>
        <v>10</v>
      </c>
      <c r="L295" s="105">
        <f>IF($E295='Auto Responses'!$L$13, 'Auto Responses'!$J$5,IF(AND($D295='Auto Responses'!$J$27,$H295=""),'Auto Responses'!$J$5,IF(AND($D295='Auto Responses'!$J$27,$H295='Auto Responses'!$J$7),1,IF(AND($D295='Auto Responses'!$J$27,$H295='Auto Responses'!$J$8),0,IF(OR(AND($F295=$G295,$H295=""),$H295='Auto Responses'!$J$7),1,0)))))</f>
        <v>0</v>
      </c>
      <c r="M295" s="4" t="str">
        <f>VLOOKUP($A295,'Privacy Analyst Evaluation'!$A$46:$K$120,11,0)&amp;""</f>
        <v>FALSE</v>
      </c>
      <c r="N295" s="4">
        <f>IF($J295='Auto Responses'!$J$11,1,IF(AND($J295="",$I295='Auto Responses'!$J$11),1,0))</f>
        <v>0</v>
      </c>
      <c r="O295" s="105">
        <f>IF(OR($E295='Auto Responses'!$L$13,$F295='Auto Responses'!$J$5,$F$24='Auto Responses'!$J$4),'Auto Responses'!$J$5,IF($J295="",$K295,IF($J295='Auto Responses'!$J$13,5,IF($J295='Auto Responses'!$J$12,10,IF($J295='Auto Responses'!$J$11,20,0)))))</f>
        <v>10</v>
      </c>
      <c r="P295" s="105">
        <f>IF(OR($O295='Auto Responses'!$J$5,$L295='Auto Responses'!$J$5),'Auto Responses'!$J$5,$O295*$L295)</f>
        <v>0</v>
      </c>
      <c r="Q295" s="105">
        <f t="shared" si="32"/>
        <v>0</v>
      </c>
      <c r="R295" s="105">
        <f t="shared" si="37"/>
        <v>0</v>
      </c>
      <c r="S295" s="105">
        <f t="shared" si="33"/>
        <v>0</v>
      </c>
      <c r="T295" s="105">
        <f t="shared" si="34"/>
        <v>0</v>
      </c>
      <c r="U295" s="105">
        <f t="shared" si="38"/>
        <v>69</v>
      </c>
      <c r="V295" s="105">
        <f t="shared" si="35"/>
        <v>0</v>
      </c>
    </row>
    <row r="296" spans="1:22" ht="56" x14ac:dyDescent="0.3">
      <c r="A296" s="4" t="str">
        <f>Questions!$A296</f>
        <v>DPAI-02</v>
      </c>
      <c r="B296" s="4" t="str">
        <f t="shared" si="36"/>
        <v>DPAI</v>
      </c>
      <c r="C296" s="4" t="str">
        <f>VLOOKUP($A296,Questions!$A$3:$L$333,2,0)&amp;""</f>
        <v>Is any institutional data retained in AI processing?*</v>
      </c>
      <c r="D296" s="4" t="str">
        <f>VLOOKUP($A296,Questions!$A$3:$L$333,11,0)&amp;""</f>
        <v/>
      </c>
      <c r="E296" s="4" t="str">
        <f>VLOOKUP($A296,Questions!$A$3:$L$333,12,0)&amp;""</f>
        <v>Privacy</v>
      </c>
      <c r="F296" s="4" t="str">
        <f>VLOOKUP($A296,'Privacy Analyst Evaluation'!$A$46:$K$120,3,0)&amp;""</f>
        <v>No</v>
      </c>
      <c r="G296" s="4" t="str">
        <f>VLOOKUP($A296,'Privacy Analyst Evaluation'!$A$46:$K$120,7,0)&amp;""</f>
        <v>No</v>
      </c>
      <c r="H296" s="4" t="str">
        <f>VLOOKUP($A296,'Privacy Analyst Evaluation'!$A$46:$K$120,8,0)&amp;""</f>
        <v/>
      </c>
      <c r="I296" s="4" t="str">
        <f>VLOOKUP($A296,'Privacy Analyst Evaluation'!$A$46:$K$120,9,0)&amp;""</f>
        <v>Critical Importance</v>
      </c>
      <c r="J296" s="4" t="str">
        <f>VLOOKUP($A296,'Privacy Analyst Evaluation'!$A$46:$K$120,10,0)&amp;""</f>
        <v/>
      </c>
      <c r="K296" s="4">
        <f>IF($I296='Auto Responses'!$J$11,20,IF($I296='Auto Responses'!$J$13,5,10))</f>
        <v>20</v>
      </c>
      <c r="L296" s="105">
        <f>IF($E296='Auto Responses'!$L$13, 'Auto Responses'!$J$5,IF(AND($D296='Auto Responses'!$J$27,$H296=""),'Auto Responses'!$J$5,IF(AND($D296='Auto Responses'!$J$27,$H296='Auto Responses'!$J$7),1,IF(AND($D296='Auto Responses'!$J$27,$H296='Auto Responses'!$J$8),0,IF(OR(AND($F296=$G296,$H296=""),$H296='Auto Responses'!$J$7),1,0)))))</f>
        <v>1</v>
      </c>
      <c r="M296" s="4" t="str">
        <f>VLOOKUP($A296,'Privacy Analyst Evaluation'!$A$46:$K$120,11,0)&amp;""</f>
        <v>FALSE</v>
      </c>
      <c r="N296" s="4">
        <f>IF($J296='Auto Responses'!$J$11,1,IF(AND($J296="",$I296='Auto Responses'!$J$11),1,0))</f>
        <v>1</v>
      </c>
      <c r="O296" s="105">
        <f>IF(OR($E296='Auto Responses'!$L$13,$F296='Auto Responses'!$J$5,$F$24='Auto Responses'!$J$4),'Auto Responses'!$J$5,IF($J296="",$K296,IF($J296='Auto Responses'!$J$13,5,IF($J296='Auto Responses'!$J$12,10,IF($J296='Auto Responses'!$J$11,20,0)))))</f>
        <v>20</v>
      </c>
      <c r="P296" s="105">
        <f>IF(OR($O296='Auto Responses'!$J$5,$L296='Auto Responses'!$J$5),'Auto Responses'!$J$5,$O296*$L296)</f>
        <v>20</v>
      </c>
      <c r="Q296" s="105">
        <f t="shared" si="32"/>
        <v>0</v>
      </c>
      <c r="R296" s="105">
        <f t="shared" si="37"/>
        <v>0</v>
      </c>
      <c r="S296" s="105">
        <f t="shared" si="33"/>
        <v>0</v>
      </c>
      <c r="T296" s="105">
        <f t="shared" si="34"/>
        <v>1</v>
      </c>
      <c r="U296" s="105">
        <f t="shared" si="38"/>
        <v>70</v>
      </c>
      <c r="V296" s="105">
        <f t="shared" si="35"/>
        <v>70</v>
      </c>
    </row>
    <row r="297" spans="1:22" ht="56" x14ac:dyDescent="0.3">
      <c r="A297" s="4" t="str">
        <f>Questions!$A297</f>
        <v>DPAI-03</v>
      </c>
      <c r="B297" s="4" t="str">
        <f t="shared" si="36"/>
        <v>DPAI</v>
      </c>
      <c r="C297" s="4" t="str">
        <f>VLOOKUP($A297,Questions!$A$3:$L$333,2,0)&amp;""</f>
        <v>Do you have agreements in place with third parties or subprocessors regarding the protection of customer data and use of AI?*</v>
      </c>
      <c r="D297" s="4" t="str">
        <f>VLOOKUP($A297,Questions!$A$3:$L$333,11,0)&amp;""</f>
        <v/>
      </c>
      <c r="E297" s="4" t="str">
        <f>VLOOKUP($A297,Questions!$A$3:$L$333,12,0)&amp;""</f>
        <v>Privacy</v>
      </c>
      <c r="F297" s="4" t="str">
        <f>VLOOKUP($A297,'Privacy Analyst Evaluation'!$A$46:$K$120,3,0)&amp;""</f>
        <v>Yes</v>
      </c>
      <c r="G297" s="4" t="str">
        <f>VLOOKUP($A297,'Privacy Analyst Evaluation'!$A$46:$K$120,7,0)&amp;""</f>
        <v>Yes</v>
      </c>
      <c r="H297" s="4" t="str">
        <f>VLOOKUP($A297,'Privacy Analyst Evaluation'!$A$46:$K$120,8,0)&amp;""</f>
        <v/>
      </c>
      <c r="I297" s="4" t="str">
        <f>VLOOKUP($A297,'Privacy Analyst Evaluation'!$A$46:$K$120,9,0)&amp;""</f>
        <v>Critical Importance</v>
      </c>
      <c r="J297" s="4" t="str">
        <f>VLOOKUP($A297,'Privacy Analyst Evaluation'!$A$46:$K$120,10,0)&amp;""</f>
        <v/>
      </c>
      <c r="K297" s="4">
        <f>IF($I297='Auto Responses'!$J$11,20,IF($I297='Auto Responses'!$J$13,5,10))</f>
        <v>20</v>
      </c>
      <c r="L297" s="105">
        <f>IF($E297='Auto Responses'!$L$13, 'Auto Responses'!$J$5,IF(AND($D297='Auto Responses'!$J$27,$H297=""),'Auto Responses'!$J$5,IF(AND($D297='Auto Responses'!$J$27,$H297='Auto Responses'!$J$7),1,IF(AND($D297='Auto Responses'!$J$27,$H297='Auto Responses'!$J$8),0,IF(OR(AND($F297=$G297,$H297=""),$H297='Auto Responses'!$J$7),1,0)))))</f>
        <v>1</v>
      </c>
      <c r="M297" s="4" t="str">
        <f>VLOOKUP($A297,'Privacy Analyst Evaluation'!$A$46:$K$120,11,0)&amp;""</f>
        <v>FALSE</v>
      </c>
      <c r="N297" s="4">
        <f>IF($J297='Auto Responses'!$J$11,1,IF(AND($J297="",$I297='Auto Responses'!$J$11),1,0))</f>
        <v>1</v>
      </c>
      <c r="O297" s="105">
        <f>IF(OR($E297='Auto Responses'!$L$13,$F297='Auto Responses'!$J$5,$F$24='Auto Responses'!$J$4),'Auto Responses'!$J$5,IF($J297="",$K297,IF($J297='Auto Responses'!$J$13,5,IF($J297='Auto Responses'!$J$12,10,IF($J297='Auto Responses'!$J$11,20,0)))))</f>
        <v>20</v>
      </c>
      <c r="P297" s="105">
        <f>IF(OR($O297='Auto Responses'!$J$5,$L297='Auto Responses'!$J$5),'Auto Responses'!$J$5,$O297*$L297)</f>
        <v>20</v>
      </c>
      <c r="Q297" s="105">
        <f t="shared" si="32"/>
        <v>0</v>
      </c>
      <c r="R297" s="105">
        <f t="shared" si="37"/>
        <v>0</v>
      </c>
      <c r="S297" s="105">
        <f t="shared" si="33"/>
        <v>0</v>
      </c>
      <c r="T297" s="105">
        <f t="shared" si="34"/>
        <v>1</v>
      </c>
      <c r="U297" s="105">
        <f t="shared" si="38"/>
        <v>71</v>
      </c>
      <c r="V297" s="105">
        <f t="shared" si="35"/>
        <v>71</v>
      </c>
    </row>
    <row r="298" spans="1:22" ht="56" x14ac:dyDescent="0.3">
      <c r="A298" s="4" t="str">
        <f>Questions!$A298</f>
        <v>DPAI-04</v>
      </c>
      <c r="B298" s="4" t="str">
        <f t="shared" si="36"/>
        <v>DPAI</v>
      </c>
      <c r="C298" s="4" t="str">
        <f>VLOOKUP($A298,Questions!$A$3:$L$333,2,0)&amp;""</f>
        <v>Will institutional data be processed through a third party or subprocessor that also uses AI?</v>
      </c>
      <c r="D298" s="4" t="str">
        <f>VLOOKUP($A298,Questions!$A$3:$L$333,11,0)&amp;""</f>
        <v/>
      </c>
      <c r="E298" s="4" t="str">
        <f>VLOOKUP($A298,Questions!$A$3:$L$333,12,0)&amp;""</f>
        <v>Privacy</v>
      </c>
      <c r="F298" s="4" t="str">
        <f>VLOOKUP($A298,'Privacy Analyst Evaluation'!$A$46:$K$120,3,0)&amp;""</f>
        <v>Yes</v>
      </c>
      <c r="G298" s="4" t="str">
        <f>VLOOKUP($A298,'Privacy Analyst Evaluation'!$A$46:$K$120,7,0)&amp;""</f>
        <v>No</v>
      </c>
      <c r="H298" s="4" t="str">
        <f>VLOOKUP($A298,'Privacy Analyst Evaluation'!$A$46:$K$120,8,0)&amp;""</f>
        <v/>
      </c>
      <c r="I298" s="4" t="str">
        <f>VLOOKUP($A298,'Privacy Analyst Evaluation'!$A$46:$K$120,9,0)&amp;""</f>
        <v>Standard Importance</v>
      </c>
      <c r="J298" s="4" t="str">
        <f>VLOOKUP($A298,'Privacy Analyst Evaluation'!$A$46:$K$120,10,0)&amp;""</f>
        <v/>
      </c>
      <c r="K298" s="4">
        <f>IF($I298='Auto Responses'!$J$11,20,IF($I298='Auto Responses'!$J$13,5,10))</f>
        <v>10</v>
      </c>
      <c r="L298" s="105">
        <f>IF($E298='Auto Responses'!$L$13, 'Auto Responses'!$J$5,IF(AND($D298='Auto Responses'!$J$27,$H298=""),'Auto Responses'!$J$5,IF(AND($D298='Auto Responses'!$J$27,$H298='Auto Responses'!$J$7),1,IF(AND($D298='Auto Responses'!$J$27,$H298='Auto Responses'!$J$8),0,IF(OR(AND($F298=$G298,$H298=""),$H298='Auto Responses'!$J$7),1,0)))))</f>
        <v>0</v>
      </c>
      <c r="M298" s="4" t="str">
        <f>VLOOKUP($A298,'Privacy Analyst Evaluation'!$A$46:$K$120,11,0)&amp;""</f>
        <v>FALSE</v>
      </c>
      <c r="N298" s="4">
        <f>IF($J298='Auto Responses'!$J$11,1,IF(AND($J298="",$I298='Auto Responses'!$J$11),1,0))</f>
        <v>0</v>
      </c>
      <c r="O298" s="105">
        <f>IF(OR($E298='Auto Responses'!$L$13,$F298='Auto Responses'!$J$5,$F$24='Auto Responses'!$J$4),'Auto Responses'!$J$5,IF($J298="",$K298,IF($J298='Auto Responses'!$J$13,5,IF($J298='Auto Responses'!$J$12,10,IF($J298='Auto Responses'!$J$11,20,0)))))</f>
        <v>10</v>
      </c>
      <c r="P298" s="105">
        <f>IF(OR($O298='Auto Responses'!$J$5,$L298='Auto Responses'!$J$5),'Auto Responses'!$J$5,$O298*$L298)</f>
        <v>0</v>
      </c>
      <c r="Q298" s="105">
        <f t="shared" si="32"/>
        <v>0</v>
      </c>
      <c r="R298" s="105">
        <f t="shared" si="37"/>
        <v>0</v>
      </c>
      <c r="S298" s="105">
        <f t="shared" si="33"/>
        <v>0</v>
      </c>
      <c r="T298" s="105">
        <f t="shared" si="34"/>
        <v>0</v>
      </c>
      <c r="U298" s="105">
        <f t="shared" si="38"/>
        <v>71</v>
      </c>
      <c r="V298" s="105">
        <f t="shared" si="35"/>
        <v>0</v>
      </c>
    </row>
    <row r="299" spans="1:22" ht="56" x14ac:dyDescent="0.3">
      <c r="A299" s="4" t="str">
        <f>Questions!$A299</f>
        <v>DPAI-05</v>
      </c>
      <c r="B299" s="4" t="str">
        <f t="shared" si="36"/>
        <v>DPAI</v>
      </c>
      <c r="C299" s="4" t="str">
        <f>VLOOKUP($A299,Questions!$A$3:$L$333,2,0)&amp;""</f>
        <v>Is AI processing limited to fully licensed commercial enterprise AI services?</v>
      </c>
      <c r="D299" s="4" t="str">
        <f>VLOOKUP($A299,Questions!$A$3:$L$333,11,0)&amp;""</f>
        <v/>
      </c>
      <c r="E299" s="4" t="str">
        <f>VLOOKUP($A299,Questions!$A$3:$L$333,12,0)&amp;""</f>
        <v>Privacy</v>
      </c>
      <c r="F299" s="4" t="str">
        <f>VLOOKUP($A299,'Privacy Analyst Evaluation'!$A$46:$K$120,3,0)&amp;""</f>
        <v>No</v>
      </c>
      <c r="G299" s="4" t="str">
        <f>VLOOKUP($A299,'Privacy Analyst Evaluation'!$A$46:$K$120,7,0)&amp;""</f>
        <v>Yes</v>
      </c>
      <c r="H299" s="4" t="str">
        <f>VLOOKUP($A299,'Privacy Analyst Evaluation'!$A$46:$K$120,8,0)&amp;""</f>
        <v/>
      </c>
      <c r="I299" s="4" t="str">
        <f>VLOOKUP($A299,'Privacy Analyst Evaluation'!$A$46:$K$120,9,0)&amp;""</f>
        <v>Minor Importance</v>
      </c>
      <c r="J299" s="4" t="str">
        <f>VLOOKUP($A299,'Privacy Analyst Evaluation'!$A$46:$K$120,10,0)&amp;""</f>
        <v/>
      </c>
      <c r="K299" s="4">
        <f>IF($I299='Auto Responses'!$J$11,20,IF($I299='Auto Responses'!$J$13,5,10))</f>
        <v>5</v>
      </c>
      <c r="L299" s="105">
        <f>IF($E299='Auto Responses'!$L$13, 'Auto Responses'!$J$5,IF(AND($D299='Auto Responses'!$J$27,$H299=""),'Auto Responses'!$J$5,IF(AND($D299='Auto Responses'!$J$27,$H299='Auto Responses'!$J$7),1,IF(AND($D299='Auto Responses'!$J$27,$H299='Auto Responses'!$J$8),0,IF(OR(AND($F299=$G299,$H299=""),$H299='Auto Responses'!$J$7),1,0)))))</f>
        <v>0</v>
      </c>
      <c r="M299" s="4" t="str">
        <f>VLOOKUP($A299,'Privacy Analyst Evaluation'!$A$46:$K$120,11,0)&amp;""</f>
        <v>FALSE</v>
      </c>
      <c r="N299" s="4">
        <f>IF($J299='Auto Responses'!$J$11,1,IF(AND($J299="",$I299='Auto Responses'!$J$11),1,0))</f>
        <v>0</v>
      </c>
      <c r="O299" s="105">
        <f>IF(OR($E299='Auto Responses'!$L$13,$F299='Auto Responses'!$J$5,$F$24='Auto Responses'!$J$4),'Auto Responses'!$J$5,IF($J299="",$K299,IF($J299='Auto Responses'!$J$13,5,IF($J299='Auto Responses'!$J$12,10,IF($J299='Auto Responses'!$J$11,20,0)))))</f>
        <v>5</v>
      </c>
      <c r="P299" s="105">
        <f>IF(OR($O299='Auto Responses'!$J$5,$L299='Auto Responses'!$J$5),'Auto Responses'!$J$5,$O299*$L299)</f>
        <v>0</v>
      </c>
      <c r="Q299" s="105">
        <f t="shared" si="32"/>
        <v>0</v>
      </c>
      <c r="R299" s="105">
        <f t="shared" si="37"/>
        <v>0</v>
      </c>
      <c r="S299" s="105">
        <f t="shared" si="33"/>
        <v>0</v>
      </c>
      <c r="T299" s="105">
        <f t="shared" si="34"/>
        <v>0</v>
      </c>
      <c r="U299" s="105">
        <f t="shared" si="38"/>
        <v>71</v>
      </c>
      <c r="V299" s="105">
        <f t="shared" si="35"/>
        <v>0</v>
      </c>
    </row>
    <row r="300" spans="1:22" ht="56" x14ac:dyDescent="0.3">
      <c r="A300" s="4" t="str">
        <f>Questions!$A300</f>
        <v>DPAI-06</v>
      </c>
      <c r="B300" s="4" t="str">
        <f t="shared" si="36"/>
        <v>DPAI</v>
      </c>
      <c r="C300" s="4" t="str">
        <f>VLOOKUP($A300,Questions!$A$3:$L$333,2,0)&amp;""</f>
        <v>Will institutional data be used or processed by any shared AI services?</v>
      </c>
      <c r="D300" s="4" t="str">
        <f>VLOOKUP($A300,Questions!$A$3:$L$333,11,0)&amp;""</f>
        <v/>
      </c>
      <c r="E300" s="4" t="str">
        <f>VLOOKUP($A300,Questions!$A$3:$L$333,12,0)&amp;""</f>
        <v>Privacy</v>
      </c>
      <c r="F300" s="4" t="str">
        <f>VLOOKUP($A300,'Privacy Analyst Evaluation'!$A$46:$K$120,3,0)&amp;""</f>
        <v>No</v>
      </c>
      <c r="G300" s="4" t="str">
        <f>VLOOKUP($A300,'Privacy Analyst Evaluation'!$A$46:$K$120,7,0)&amp;""</f>
        <v>No</v>
      </c>
      <c r="H300" s="4" t="str">
        <f>VLOOKUP($A300,'Privacy Analyst Evaluation'!$A$46:$K$120,8,0)&amp;""</f>
        <v/>
      </c>
      <c r="I300" s="4" t="str">
        <f>VLOOKUP($A300,'Privacy Analyst Evaluation'!$A$46:$K$120,9,0)&amp;""</f>
        <v>Minor Importance</v>
      </c>
      <c r="J300" s="4" t="str">
        <f>VLOOKUP($A300,'Privacy Analyst Evaluation'!$A$46:$K$120,10,0)&amp;""</f>
        <v/>
      </c>
      <c r="K300" s="4">
        <f>IF($I300='Auto Responses'!$J$11,20,IF($I300='Auto Responses'!$J$13,5,10))</f>
        <v>5</v>
      </c>
      <c r="L300" s="105">
        <f>IF($E300='Auto Responses'!$L$13, 'Auto Responses'!$J$5,IF(AND($D300='Auto Responses'!$J$27,$H300=""),'Auto Responses'!$J$5,IF(AND($D300='Auto Responses'!$J$27,$H300='Auto Responses'!$J$7),1,IF(AND($D300='Auto Responses'!$J$27,$H300='Auto Responses'!$J$8),0,IF(OR(AND($F300=$G300,$H300=""),$H300='Auto Responses'!$J$7),1,0)))))</f>
        <v>1</v>
      </c>
      <c r="M300" s="4" t="str">
        <f>VLOOKUP($A300,'Privacy Analyst Evaluation'!$A$46:$K$120,11,0)&amp;""</f>
        <v>FALSE</v>
      </c>
      <c r="N300" s="4">
        <f>IF($J300='Auto Responses'!$J$11,1,IF(AND($J300="",$I300='Auto Responses'!$J$11),1,0))</f>
        <v>0</v>
      </c>
      <c r="O300" s="105">
        <f>IF(OR($E300='Auto Responses'!$L$13,$F300='Auto Responses'!$J$5,$F$24='Auto Responses'!$J$4),'Auto Responses'!$J$5,IF($J300="",$K300,IF($J300='Auto Responses'!$J$13,5,IF($J300='Auto Responses'!$J$12,10,IF($J300='Auto Responses'!$J$11,20,0)))))</f>
        <v>5</v>
      </c>
      <c r="P300" s="105">
        <f>IF(OR($O300='Auto Responses'!$J$5,$L300='Auto Responses'!$J$5),'Auto Responses'!$J$5,$O300*$L300)</f>
        <v>5</v>
      </c>
      <c r="Q300" s="105">
        <f t="shared" si="32"/>
        <v>0</v>
      </c>
      <c r="R300" s="105">
        <f t="shared" si="37"/>
        <v>0</v>
      </c>
      <c r="S300" s="105">
        <f t="shared" si="33"/>
        <v>0</v>
      </c>
      <c r="T300" s="105">
        <f t="shared" si="34"/>
        <v>0</v>
      </c>
      <c r="U300" s="105">
        <f t="shared" si="38"/>
        <v>71</v>
      </c>
      <c r="V300" s="105">
        <f t="shared" si="35"/>
        <v>0</v>
      </c>
    </row>
    <row r="301" spans="1:22" ht="56" x14ac:dyDescent="0.3">
      <c r="A301" s="4" t="str">
        <f>Questions!$A301</f>
        <v>DPAI-07</v>
      </c>
      <c r="B301" s="4" t="str">
        <f t="shared" si="36"/>
        <v>DPAI</v>
      </c>
      <c r="C301" s="4" t="str">
        <f>VLOOKUP($A301,Questions!$A$3:$L$333,2,0)&amp;""</f>
        <v>Do you have safeguards in place to protect institutional data and data privacy from unintended AI queries or processing?</v>
      </c>
      <c r="D301" s="4" t="str">
        <f>VLOOKUP($A301,Questions!$A$3:$L$333,11,0)&amp;""</f>
        <v/>
      </c>
      <c r="E301" s="4" t="str">
        <f>VLOOKUP($A301,Questions!$A$3:$L$333,12,0)&amp;""</f>
        <v>Privacy</v>
      </c>
      <c r="F301" s="4" t="str">
        <f>VLOOKUP($A301,'Privacy Analyst Evaluation'!$A$46:$K$120,3,0)&amp;""</f>
        <v>Yes</v>
      </c>
      <c r="G301" s="4" t="str">
        <f>VLOOKUP($A301,'Privacy Analyst Evaluation'!$A$46:$K$120,7,0)&amp;""</f>
        <v>Yes</v>
      </c>
      <c r="H301" s="4" t="str">
        <f>VLOOKUP($A301,'Privacy Analyst Evaluation'!$A$46:$K$120,8,0)&amp;""</f>
        <v/>
      </c>
      <c r="I301" s="4" t="str">
        <f>VLOOKUP($A301,'Privacy Analyst Evaluation'!$A$46:$K$120,9,0)&amp;""</f>
        <v>Minor Importance</v>
      </c>
      <c r="J301" s="4" t="str">
        <f>VLOOKUP($A301,'Privacy Analyst Evaluation'!$A$46:$K$120,10,0)&amp;""</f>
        <v/>
      </c>
      <c r="K301" s="4">
        <f>IF($I301='Auto Responses'!$J$11,20,IF($I301='Auto Responses'!$J$13,5,10))</f>
        <v>5</v>
      </c>
      <c r="L301" s="105">
        <f>IF($E301='Auto Responses'!$L$13, 'Auto Responses'!$J$5,IF(AND($D301='Auto Responses'!$J$27,$H301=""),'Auto Responses'!$J$5,IF(AND($D301='Auto Responses'!$J$27,$H301='Auto Responses'!$J$7),1,IF(AND($D301='Auto Responses'!$J$27,$H301='Auto Responses'!$J$8),0,IF(OR(AND($F301=$G301,$H301=""),$H301='Auto Responses'!$J$7),1,0)))))</f>
        <v>1</v>
      </c>
      <c r="M301" s="4" t="str">
        <f>VLOOKUP($A301,'Privacy Analyst Evaluation'!$A$46:$K$120,11,0)&amp;""</f>
        <v>FALSE</v>
      </c>
      <c r="N301" s="4">
        <f>IF($J301='Auto Responses'!$J$11,1,IF(AND($J301="",$I301='Auto Responses'!$J$11),1,0))</f>
        <v>0</v>
      </c>
      <c r="O301" s="105">
        <f>IF(OR($E301='Auto Responses'!$L$13,$F301='Auto Responses'!$J$5,$F$24='Auto Responses'!$J$4),'Auto Responses'!$J$5,IF($J301="",$K301,IF($J301='Auto Responses'!$J$13,5,IF($J301='Auto Responses'!$J$12,10,IF($J301='Auto Responses'!$J$11,20,0)))))</f>
        <v>5</v>
      </c>
      <c r="P301" s="105">
        <f>IF(OR($O301='Auto Responses'!$J$5,$L301='Auto Responses'!$J$5),'Auto Responses'!$J$5,$O301*$L301)</f>
        <v>5</v>
      </c>
      <c r="Q301" s="105">
        <f t="shared" si="32"/>
        <v>0</v>
      </c>
      <c r="R301" s="105">
        <f t="shared" si="37"/>
        <v>0</v>
      </c>
      <c r="S301" s="105">
        <f t="shared" si="33"/>
        <v>0</v>
      </c>
      <c r="T301" s="105">
        <f t="shared" si="34"/>
        <v>0</v>
      </c>
      <c r="U301" s="105">
        <f t="shared" si="38"/>
        <v>71</v>
      </c>
      <c r="V301" s="105">
        <f t="shared" si="35"/>
        <v>0</v>
      </c>
    </row>
    <row r="302" spans="1:22" ht="56" x14ac:dyDescent="0.3">
      <c r="A302" s="4" t="str">
        <f>Questions!$A302</f>
        <v>DPAI-08</v>
      </c>
      <c r="B302" s="4" t="str">
        <f t="shared" si="36"/>
        <v>DPAI</v>
      </c>
      <c r="C302" s="4" t="str">
        <f>VLOOKUP($A302,Questions!$A$3:$L$333,2,0)&amp;""</f>
        <v>Do you provide choice to the user to opt out of AI use?</v>
      </c>
      <c r="D302" s="4" t="str">
        <f>VLOOKUP($A302,Questions!$A$3:$L$333,11,0)&amp;""</f>
        <v/>
      </c>
      <c r="E302" s="4" t="str">
        <f>VLOOKUP($A302,Questions!$A$3:$L$333,12,0)&amp;""</f>
        <v>Privacy</v>
      </c>
      <c r="F302" s="4" t="str">
        <f>VLOOKUP($A302,'Privacy Analyst Evaluation'!$A$46:$K$120,3,0)&amp;""</f>
        <v>Yes</v>
      </c>
      <c r="G302" s="4" t="str">
        <f>VLOOKUP($A302,'Privacy Analyst Evaluation'!$A$46:$K$120,7,0)&amp;""</f>
        <v>Yes</v>
      </c>
      <c r="H302" s="4" t="str">
        <f>VLOOKUP($A302,'Privacy Analyst Evaluation'!$A$46:$K$120,8,0)&amp;""</f>
        <v/>
      </c>
      <c r="I302" s="4" t="str">
        <f>VLOOKUP($A302,'Privacy Analyst Evaluation'!$A$46:$K$120,9,0)&amp;""</f>
        <v>Minor Importance</v>
      </c>
      <c r="J302" s="4" t="str">
        <f>VLOOKUP($A302,'Privacy Analyst Evaluation'!$A$46:$K$120,10,0)&amp;""</f>
        <v/>
      </c>
      <c r="K302" s="4">
        <f>IF($I302='Auto Responses'!$J$11,20,IF($I302='Auto Responses'!$J$13,5,10))</f>
        <v>5</v>
      </c>
      <c r="L302" s="105">
        <f>IF($E302='Auto Responses'!$L$13, 'Auto Responses'!$J$5,IF(AND($D302='Auto Responses'!$J$27,$H302=""),'Auto Responses'!$J$5,IF(AND($D302='Auto Responses'!$J$27,$H302='Auto Responses'!$J$7),1,IF(AND($D302='Auto Responses'!$J$27,$H302='Auto Responses'!$J$8),0,IF(OR(AND($F302=$G302,$H302=""),$H302='Auto Responses'!$J$7),1,0)))))</f>
        <v>1</v>
      </c>
      <c r="M302" s="4" t="str">
        <f>VLOOKUP($A302,'Privacy Analyst Evaluation'!$A$46:$K$120,11,0)&amp;""</f>
        <v>FALSE</v>
      </c>
      <c r="N302" s="4">
        <f>IF($J302='Auto Responses'!$J$11,1,IF(AND($J302="",$I302='Auto Responses'!$J$11),1,0))</f>
        <v>0</v>
      </c>
      <c r="O302" s="105">
        <f>IF(OR($E302='Auto Responses'!$L$13,$F302='Auto Responses'!$J$5,$F$24='Auto Responses'!$J$4),'Auto Responses'!$J$5,IF($J302="",$K302,IF($J302='Auto Responses'!$J$13,5,IF($J302='Auto Responses'!$J$12,10,IF($J302='Auto Responses'!$J$11,20,0)))))</f>
        <v>5</v>
      </c>
      <c r="P302" s="105">
        <f>IF(OR($O302='Auto Responses'!$J$5,$L302='Auto Responses'!$J$5),'Auto Responses'!$J$5,$O302*$L302)</f>
        <v>5</v>
      </c>
      <c r="Q302" s="105">
        <f t="shared" si="32"/>
        <v>0</v>
      </c>
      <c r="R302" s="105">
        <f t="shared" si="37"/>
        <v>0</v>
      </c>
      <c r="S302" s="105">
        <f t="shared" si="33"/>
        <v>0</v>
      </c>
      <c r="T302" s="105">
        <f t="shared" si="34"/>
        <v>0</v>
      </c>
      <c r="U302" s="105">
        <f t="shared" si="38"/>
        <v>71</v>
      </c>
      <c r="V302" s="105">
        <f t="shared" si="35"/>
        <v>0</v>
      </c>
    </row>
    <row r="303" spans="1:22" ht="56" x14ac:dyDescent="0.3">
      <c r="A303" s="4" t="str">
        <f>Questions!$A303</f>
        <v>AIQU-01</v>
      </c>
      <c r="B303" s="4" t="str">
        <f t="shared" si="36"/>
        <v>AIQU</v>
      </c>
      <c r="C303" s="4" t="str">
        <f>VLOOKUP($A303,Questions!$A$3:$L$333,2,0)&amp;""</f>
        <v>Does your solution leverage machine learning (ML) or do you plan to do so in the next 12 months?</v>
      </c>
      <c r="D303" s="4" t="str">
        <f>VLOOKUP($A303,Questions!$A$3:$L$333,11,0)&amp;""</f>
        <v>NA</v>
      </c>
      <c r="E303" s="4" t="str">
        <f>VLOOKUP($A303,Questions!$A$3:$L$333,12,0)&amp;""</f>
        <v>Not scored</v>
      </c>
      <c r="F303" s="4" t="str">
        <f>VLOOKUP($A303,'Institution Evaluation'!$A$56:$K$345,3,0)&amp;""</f>
        <v>Yes</v>
      </c>
      <c r="G303" s="4" t="str">
        <f>VLOOKUP($A303,'Institution Evaluation'!$A$56:$K$345,7,0)&amp;""</f>
        <v>Not scored</v>
      </c>
      <c r="H303" s="4" t="str">
        <f>VLOOKUP($A303,'Institution Evaluation'!$A$56:$K$345,8,0)&amp;""</f>
        <v/>
      </c>
      <c r="I303" s="4" t="str">
        <f>VLOOKUP($A303,'Institution Evaluation'!$A$56:$K$345,9,0)&amp;""</f>
        <v/>
      </c>
      <c r="J303" s="4" t="str">
        <f>VLOOKUP($A303,'Institution Evaluation'!$A$56:$K$345,10,0)&amp;""</f>
        <v/>
      </c>
      <c r="K303" s="4">
        <f>IF($I303='Auto Responses'!$J$11,20,IF($I303='Auto Responses'!$J$13,5,10))</f>
        <v>10</v>
      </c>
      <c r="L303" s="105" t="str">
        <f>IF($E303='Auto Responses'!$L$13, 'Auto Responses'!$J$5,IF(AND($D303='Auto Responses'!$J$27,$H303=""),'Auto Responses'!$J$5,IF(AND($D303='Auto Responses'!$J$27,$H303='Auto Responses'!$J$7),1,IF(AND($D303='Auto Responses'!$J$27,$H303='Auto Responses'!$J$8),0,IF(OR(AND($F303=$G303,$H303=""),$H303='Auto Responses'!$J$7),1,0)))))</f>
        <v>N/A</v>
      </c>
      <c r="M303" s="4" t="str">
        <f>VLOOKUP($A303,'Institution Evaluation'!$A$56:$K$345,11,0)&amp;""</f>
        <v>FALSE</v>
      </c>
      <c r="N303" s="4">
        <f>IF($J303='Auto Responses'!$J$11,1,IF(AND($J303="",$I303='Auto Responses'!$J$11),1,0))</f>
        <v>0</v>
      </c>
      <c r="O303" s="105" t="str">
        <f>IF(OR($F$20='Auto Responses'!$J$4,$E303='Auto Responses'!$L$13,$F303='Auto Responses'!$J$5),'Auto Responses'!$J$5,IF($J303="",$K303,IF($J303='Auto Responses'!$J$13,5,IF($J303='Auto Responses'!$J$12,10,IF($J303='Auto Responses'!$J$11,20,0)))))</f>
        <v>N/A</v>
      </c>
      <c r="P303" s="105" t="str">
        <f>IF(OR($O303='Auto Responses'!$J$5,$L303='Auto Responses'!$J$5),'Auto Responses'!$J$5,$O303*$L303)</f>
        <v>N/A</v>
      </c>
      <c r="Q303" s="105">
        <f t="shared" si="32"/>
        <v>0</v>
      </c>
      <c r="R303" s="105">
        <f t="shared" si="37"/>
        <v>0</v>
      </c>
      <c r="S303" s="105">
        <f t="shared" si="33"/>
        <v>0</v>
      </c>
      <c r="T303" s="105">
        <f t="shared" si="34"/>
        <v>0</v>
      </c>
      <c r="U303" s="105">
        <f t="shared" si="38"/>
        <v>71</v>
      </c>
      <c r="V303" s="105">
        <f t="shared" si="35"/>
        <v>0</v>
      </c>
    </row>
    <row r="304" spans="1:22" ht="56" x14ac:dyDescent="0.3">
      <c r="A304" s="4" t="str">
        <f>Questions!$A304</f>
        <v>AIQU-02</v>
      </c>
      <c r="B304" s="4" t="str">
        <f t="shared" si="36"/>
        <v>AIQU</v>
      </c>
      <c r="C304" s="4" t="str">
        <f>VLOOKUP($A304,Questions!$A$3:$L$333,2,0)&amp;""</f>
        <v>Does your solution leverage a large language model (LLM) or do you plan to do so in the next 12 months?</v>
      </c>
      <c r="D304" s="4" t="str">
        <f>VLOOKUP($A304,Questions!$A$3:$L$333,11,0)&amp;""</f>
        <v>NA</v>
      </c>
      <c r="E304" s="4" t="str">
        <f>VLOOKUP($A304,Questions!$A$3:$L$333,12,0)&amp;""</f>
        <v>Not scored</v>
      </c>
      <c r="F304" s="4" t="str">
        <f>VLOOKUP($A304,'Institution Evaluation'!$A$56:$K$345,3,0)&amp;""</f>
        <v>No</v>
      </c>
      <c r="G304" s="4" t="str">
        <f>VLOOKUP($A304,'Institution Evaluation'!$A$56:$K$345,7,0)&amp;""</f>
        <v>Not scored</v>
      </c>
      <c r="H304" s="4" t="str">
        <f>VLOOKUP($A304,'Institution Evaluation'!$A$56:$K$345,8,0)&amp;""</f>
        <v/>
      </c>
      <c r="I304" s="4" t="str">
        <f>VLOOKUP($A304,'Institution Evaluation'!$A$56:$K$345,9,0)&amp;""</f>
        <v/>
      </c>
      <c r="J304" s="4" t="str">
        <f>VLOOKUP($A304,'Institution Evaluation'!$A$56:$K$345,10,0)&amp;""</f>
        <v/>
      </c>
      <c r="K304" s="4">
        <f>IF($I304='Auto Responses'!$J$11,20,IF($I304='Auto Responses'!$J$13,5,10))</f>
        <v>10</v>
      </c>
      <c r="L304" s="105" t="str">
        <f>IF($E304='Auto Responses'!$L$13, 'Auto Responses'!$J$5,IF(AND($D304='Auto Responses'!$J$27,$H304=""),'Auto Responses'!$J$5,IF(AND($D304='Auto Responses'!$J$27,$H304='Auto Responses'!$J$7),1,IF(AND($D304='Auto Responses'!$J$27,$H304='Auto Responses'!$J$8),0,IF(OR(AND($F304=$G304,$H304=""),$H304='Auto Responses'!$J$7),1,0)))))</f>
        <v>N/A</v>
      </c>
      <c r="M304" s="4" t="str">
        <f>VLOOKUP($A304,'Institution Evaluation'!$A$56:$K$345,11,0)&amp;""</f>
        <v>FALSE</v>
      </c>
      <c r="N304" s="4">
        <f>IF($J304='Auto Responses'!$J$11,1,IF(AND($J304="",$I304='Auto Responses'!$J$11),1,0))</f>
        <v>0</v>
      </c>
      <c r="O304" s="105" t="str">
        <f>IF(OR($F$20='Auto Responses'!$J$4,$E304='Auto Responses'!$L$13,$F304='Auto Responses'!$J$5),'Auto Responses'!$J$5,IF($J304="",$K304,IF($J304='Auto Responses'!$J$13,5,IF($J304='Auto Responses'!$J$12,10,IF($J304='Auto Responses'!$J$11,20,0)))))</f>
        <v>N/A</v>
      </c>
      <c r="P304" s="105" t="str">
        <f>IF(OR($O304='Auto Responses'!$J$5,$L304='Auto Responses'!$J$5),'Auto Responses'!$J$5,$O304*$L304)</f>
        <v>N/A</v>
      </c>
      <c r="Q304" s="105">
        <f t="shared" si="32"/>
        <v>0</v>
      </c>
      <c r="R304" s="105">
        <f t="shared" si="37"/>
        <v>0</v>
      </c>
      <c r="S304" s="105">
        <f t="shared" si="33"/>
        <v>0</v>
      </c>
      <c r="T304" s="105">
        <f t="shared" si="34"/>
        <v>0</v>
      </c>
      <c r="U304" s="105">
        <f t="shared" si="38"/>
        <v>71</v>
      </c>
      <c r="V304" s="105">
        <f t="shared" si="35"/>
        <v>0</v>
      </c>
    </row>
    <row r="305" spans="1:22" ht="56" x14ac:dyDescent="0.3">
      <c r="A305" s="4" t="str">
        <f>Questions!$A305</f>
        <v>AIGN-01</v>
      </c>
      <c r="B305" s="4" t="str">
        <f t="shared" si="36"/>
        <v>AIGN</v>
      </c>
      <c r="C305" s="4" t="str">
        <f>VLOOKUP($A305,Questions!$A$3:$L$333,2,0)&amp;""</f>
        <v>Does your solution have an AI risk model when developing or implementing your solution's AI model?*</v>
      </c>
      <c r="D305" s="4" t="str">
        <f>VLOOKUP($A305,Questions!$A$3:$L$333,11,0)&amp;""</f>
        <v/>
      </c>
      <c r="E305" s="4" t="str">
        <f>VLOOKUP($A305,Questions!$A$3:$L$333,12,0)&amp;""</f>
        <v>AI</v>
      </c>
      <c r="F305" s="4" t="str">
        <f>VLOOKUP($A305,'Institution Evaluation'!$A$56:$K$345,3,0)&amp;""</f>
        <v>Yes</v>
      </c>
      <c r="G305" s="4" t="str">
        <f>VLOOKUP($A305,'Institution Evaluation'!$A$56:$K$345,7,0)&amp;""</f>
        <v>Yes</v>
      </c>
      <c r="H305" s="4" t="str">
        <f>VLOOKUP($A305,'Institution Evaluation'!$A$56:$K$345,8,0)&amp;""</f>
        <v/>
      </c>
      <c r="I305" s="4" t="str">
        <f>VLOOKUP($A305,'Institution Evaluation'!$A$56:$K$345,9,0)&amp;""</f>
        <v>Critical Importance</v>
      </c>
      <c r="J305" s="4" t="str">
        <f>VLOOKUP($A305,'Institution Evaluation'!$A$56:$K$345,10,0)&amp;""</f>
        <v/>
      </c>
      <c r="K305" s="4">
        <f>IF($I305='Auto Responses'!$J$11,20,IF($I305='Auto Responses'!$J$13,5,10))</f>
        <v>20</v>
      </c>
      <c r="L305" s="105">
        <f>IF($E305='Auto Responses'!$L$13, 'Auto Responses'!$J$5,IF(AND($D305='Auto Responses'!$J$27,$H305=""),'Auto Responses'!$J$5,IF(AND($D305='Auto Responses'!$J$27,$H305='Auto Responses'!$J$7),1,IF(AND($D305='Auto Responses'!$J$27,$H305='Auto Responses'!$J$8),0,IF(OR(AND($F305=$G305,$H305=""),$H305='Auto Responses'!$J$7),1,0)))))</f>
        <v>1</v>
      </c>
      <c r="M305" s="4" t="str">
        <f>VLOOKUP($A305,'Institution Evaluation'!$A$56:$K$345,11,0)&amp;""</f>
        <v>FALSE</v>
      </c>
      <c r="N305" s="4">
        <f>IF($J305='Auto Responses'!$J$11,1,IF(AND($J305="",$I305='Auto Responses'!$J$11),1,0))</f>
        <v>1</v>
      </c>
      <c r="O305" s="105">
        <f>IF(OR($F$20='Auto Responses'!$J$4,$E305='Auto Responses'!$L$13,$F305='Auto Responses'!$J$5),'Auto Responses'!$J$5,IF($J305="",$K305,IF($J305='Auto Responses'!$J$13,5,IF($J305='Auto Responses'!$J$12,10,IF($J305='Auto Responses'!$J$11,20,0)))))</f>
        <v>20</v>
      </c>
      <c r="P305" s="105">
        <f>IF(OR($O305='Auto Responses'!$J$5,$L305='Auto Responses'!$J$5),'Auto Responses'!$J$5,$O305*$L305)</f>
        <v>20</v>
      </c>
      <c r="Q305" s="105">
        <f t="shared" si="32"/>
        <v>0</v>
      </c>
      <c r="R305" s="105">
        <f t="shared" si="37"/>
        <v>0</v>
      </c>
      <c r="S305" s="105">
        <f t="shared" si="33"/>
        <v>0</v>
      </c>
      <c r="T305" s="105">
        <f t="shared" si="34"/>
        <v>1</v>
      </c>
      <c r="U305" s="105">
        <f t="shared" si="38"/>
        <v>72</v>
      </c>
      <c r="V305" s="105">
        <f t="shared" si="35"/>
        <v>72</v>
      </c>
    </row>
    <row r="306" spans="1:22" ht="56" x14ac:dyDescent="0.3">
      <c r="A306" s="4" t="str">
        <f>Questions!$A306</f>
        <v>AIGN-02</v>
      </c>
      <c r="B306" s="4" t="str">
        <f t="shared" si="36"/>
        <v>AIGN</v>
      </c>
      <c r="C306" s="4" t="str">
        <f>VLOOKUP($A306,Questions!$A$3:$L$333,2,0)&amp;""</f>
        <v>Can your solution's AI features be disabled by tenant and/or user?*</v>
      </c>
      <c r="D306" s="4" t="str">
        <f>VLOOKUP($A306,Questions!$A$3:$L$333,11,0)&amp;""</f>
        <v/>
      </c>
      <c r="E306" s="4" t="str">
        <f>VLOOKUP($A306,Questions!$A$3:$L$333,12,0)&amp;""</f>
        <v>AI</v>
      </c>
      <c r="F306" s="4" t="str">
        <f>VLOOKUP($A306,'Institution Evaluation'!$A$56:$K$345,3,0)&amp;""</f>
        <v>Yes</v>
      </c>
      <c r="G306" s="4" t="str">
        <f>VLOOKUP($A306,'Institution Evaluation'!$A$56:$K$345,7,0)&amp;""</f>
        <v>Yes</v>
      </c>
      <c r="H306" s="4" t="str">
        <f>VLOOKUP($A306,'Institution Evaluation'!$A$56:$K$345,8,0)&amp;""</f>
        <v/>
      </c>
      <c r="I306" s="4" t="str">
        <f>VLOOKUP($A306,'Institution Evaluation'!$A$56:$K$345,9,0)&amp;""</f>
        <v>Critical Importance</v>
      </c>
      <c r="J306" s="4" t="str">
        <f>VLOOKUP($A306,'Institution Evaluation'!$A$56:$K$345,10,0)&amp;""</f>
        <v/>
      </c>
      <c r="K306" s="4">
        <f>IF($I306='Auto Responses'!$J$11,20,IF($I306='Auto Responses'!$J$13,5,10))</f>
        <v>20</v>
      </c>
      <c r="L306" s="105">
        <f>IF($E306='Auto Responses'!$L$13, 'Auto Responses'!$J$5,IF(AND($D306='Auto Responses'!$J$27,$H306=""),'Auto Responses'!$J$5,IF(AND($D306='Auto Responses'!$J$27,$H306='Auto Responses'!$J$7),1,IF(AND($D306='Auto Responses'!$J$27,$H306='Auto Responses'!$J$8),0,IF(OR(AND($F306=$G306,$H306=""),$H306='Auto Responses'!$J$7),1,0)))))</f>
        <v>1</v>
      </c>
      <c r="M306" s="4" t="str">
        <f>VLOOKUP($A306,'Institution Evaluation'!$A$56:$K$345,11,0)&amp;""</f>
        <v>FALSE</v>
      </c>
      <c r="N306" s="4">
        <f>IF($J306='Auto Responses'!$J$11,1,IF(AND($J306="",$I306='Auto Responses'!$J$11),1,0))</f>
        <v>1</v>
      </c>
      <c r="O306" s="105">
        <f>IF(OR($F$20='Auto Responses'!$J$4,$E306='Auto Responses'!$L$13,$F306='Auto Responses'!$J$5),'Auto Responses'!$J$5,IF($J306="",$K306,IF($J306='Auto Responses'!$J$13,5,IF($J306='Auto Responses'!$J$12,10,IF($J306='Auto Responses'!$J$11,20,0)))))</f>
        <v>20</v>
      </c>
      <c r="P306" s="105">
        <f>IF(OR($O306='Auto Responses'!$J$5,$L306='Auto Responses'!$J$5),'Auto Responses'!$J$5,$O306*$L306)</f>
        <v>20</v>
      </c>
      <c r="Q306" s="105">
        <f t="shared" si="32"/>
        <v>0</v>
      </c>
      <c r="R306" s="105">
        <f t="shared" si="37"/>
        <v>0</v>
      </c>
      <c r="S306" s="105">
        <f t="shared" si="33"/>
        <v>0</v>
      </c>
      <c r="T306" s="105">
        <f t="shared" si="34"/>
        <v>1</v>
      </c>
      <c r="U306" s="105">
        <f t="shared" si="38"/>
        <v>73</v>
      </c>
      <c r="V306" s="105">
        <f t="shared" si="35"/>
        <v>73</v>
      </c>
    </row>
    <row r="307" spans="1:22" ht="56" x14ac:dyDescent="0.3">
      <c r="A307" s="4" t="str">
        <f>Questions!$A307</f>
        <v>AIGN-03</v>
      </c>
      <c r="B307" s="4" t="str">
        <f t="shared" si="36"/>
        <v>AIGN</v>
      </c>
      <c r="C307" s="4" t="str">
        <f>VLOOKUP($A307,Questions!$A$3:$L$333,2,0)&amp;""</f>
        <v>Have your staff completed responsible AI training?*</v>
      </c>
      <c r="D307" s="4" t="str">
        <f>VLOOKUP($A307,Questions!$A$3:$L$333,11,0)&amp;""</f>
        <v/>
      </c>
      <c r="E307" s="4" t="str">
        <f>VLOOKUP($A307,Questions!$A$3:$L$333,12,0)&amp;""</f>
        <v>AI</v>
      </c>
      <c r="F307" s="4" t="str">
        <f>VLOOKUP($A307,'Institution Evaluation'!$A$56:$K$345,3,0)&amp;""</f>
        <v>Yes</v>
      </c>
      <c r="G307" s="4" t="str">
        <f>VLOOKUP($A307,'Institution Evaluation'!$A$56:$K$345,7,0)&amp;""</f>
        <v>Yes</v>
      </c>
      <c r="H307" s="4" t="str">
        <f>VLOOKUP($A307,'Institution Evaluation'!$A$56:$K$345,8,0)&amp;""</f>
        <v/>
      </c>
      <c r="I307" s="4" t="str">
        <f>VLOOKUP($A307,'Institution Evaluation'!$A$56:$K$345,9,0)&amp;""</f>
        <v>Critical Importance</v>
      </c>
      <c r="J307" s="4" t="str">
        <f>VLOOKUP($A307,'Institution Evaluation'!$A$56:$K$345,10,0)&amp;""</f>
        <v/>
      </c>
      <c r="K307" s="4">
        <f>IF($I307='Auto Responses'!$J$11,20,IF($I307='Auto Responses'!$J$13,5,10))</f>
        <v>20</v>
      </c>
      <c r="L307" s="105">
        <f>IF($E307='Auto Responses'!$L$13, 'Auto Responses'!$J$5,IF(AND($D307='Auto Responses'!$J$27,$H307=""),'Auto Responses'!$J$5,IF(AND($D307='Auto Responses'!$J$27,$H307='Auto Responses'!$J$7),1,IF(AND($D307='Auto Responses'!$J$27,$H307='Auto Responses'!$J$8),0,IF(OR(AND($F307=$G307,$H307=""),$H307='Auto Responses'!$J$7),1,0)))))</f>
        <v>1</v>
      </c>
      <c r="M307" s="4" t="str">
        <f>VLOOKUP($A307,'Institution Evaluation'!$A$56:$K$345,11,0)&amp;""</f>
        <v>FALSE</v>
      </c>
      <c r="N307" s="4">
        <f>IF($J307='Auto Responses'!$J$11,1,IF(AND($J307="",$I307='Auto Responses'!$J$11),1,0))</f>
        <v>1</v>
      </c>
      <c r="O307" s="105">
        <f>IF(OR($F$20='Auto Responses'!$J$4,$E307='Auto Responses'!$L$13,$F307='Auto Responses'!$J$5),'Auto Responses'!$J$5,IF($J307="",$K307,IF($J307='Auto Responses'!$J$13,5,IF($J307='Auto Responses'!$J$12,10,IF($J307='Auto Responses'!$J$11,20,0)))))</f>
        <v>20</v>
      </c>
      <c r="P307" s="105">
        <f>IF(OR($O307='Auto Responses'!$J$5,$L307='Auto Responses'!$J$5),'Auto Responses'!$J$5,$O307*$L307)</f>
        <v>20</v>
      </c>
      <c r="Q307" s="105">
        <f t="shared" si="32"/>
        <v>0</v>
      </c>
      <c r="R307" s="105">
        <f t="shared" si="37"/>
        <v>0</v>
      </c>
      <c r="S307" s="105">
        <f t="shared" si="33"/>
        <v>0</v>
      </c>
      <c r="T307" s="105">
        <f t="shared" si="34"/>
        <v>1</v>
      </c>
      <c r="U307" s="105">
        <f t="shared" si="38"/>
        <v>74</v>
      </c>
      <c r="V307" s="105">
        <f t="shared" si="35"/>
        <v>74</v>
      </c>
    </row>
    <row r="308" spans="1:22" ht="56" x14ac:dyDescent="0.3">
      <c r="A308" s="4" t="str">
        <f>Questions!$A308</f>
        <v>AIGN-04</v>
      </c>
      <c r="B308" s="4" t="str">
        <f t="shared" si="36"/>
        <v>AIGN</v>
      </c>
      <c r="C308" s="4" t="str">
        <f>VLOOKUP($A308,Questions!$A$3:$L$333,2,0)&amp;""</f>
        <v>Please describe the capabilities of your solution's AI features.</v>
      </c>
      <c r="D308" s="4" t="str">
        <f>VLOOKUP($A308,Questions!$A$3:$L$333,11,0)&amp;""</f>
        <v/>
      </c>
      <c r="E308" s="4" t="str">
        <f>VLOOKUP($A308,Questions!$A$3:$L$333,12,0)&amp;""</f>
        <v>Not scored</v>
      </c>
      <c r="F308" s="4" t="str">
        <f>VLOOKUP($A308,'Institution Evaluation'!$A$56:$K$345,3,0)&amp;""</f>
        <v/>
      </c>
      <c r="G308" s="4" t="str">
        <f>VLOOKUP($A308,'Institution Evaluation'!$A$56:$K$345,7,0)&amp;""</f>
        <v>Not scored</v>
      </c>
      <c r="H308" s="4" t="str">
        <f>VLOOKUP($A308,'Institution Evaluation'!$A$56:$K$345,8,0)&amp;""</f>
        <v/>
      </c>
      <c r="I308" s="4" t="str">
        <f>VLOOKUP($A308,'Institution Evaluation'!$A$56:$K$345,9,0)&amp;""</f>
        <v/>
      </c>
      <c r="J308" s="4" t="str">
        <f>VLOOKUP($A308,'Institution Evaluation'!$A$56:$K$345,10,0)&amp;""</f>
        <v/>
      </c>
      <c r="K308" s="4">
        <f>IF($I308='Auto Responses'!$J$11,20,IF($I308='Auto Responses'!$J$13,5,10))</f>
        <v>10</v>
      </c>
      <c r="L308" s="105" t="str">
        <f>IF($E308='Auto Responses'!$L$13, 'Auto Responses'!$J$5,IF(AND($D308='Auto Responses'!$J$27,$H308=""),'Auto Responses'!$J$5,IF(AND($D308='Auto Responses'!$J$27,$H308='Auto Responses'!$J$7),1,IF(AND($D308='Auto Responses'!$J$27,$H308='Auto Responses'!$J$8),0,IF(OR(AND($F308=$G308,$H308=""),$H308='Auto Responses'!$J$7),1,0)))))</f>
        <v>N/A</v>
      </c>
      <c r="M308" s="4" t="str">
        <f>VLOOKUP($A308,'Institution Evaluation'!$A$56:$K$345,11,0)&amp;""</f>
        <v>FALSE</v>
      </c>
      <c r="N308" s="4">
        <f>IF($J308='Auto Responses'!$J$11,1,IF(AND($J308="",$I308='Auto Responses'!$J$11),1,0))</f>
        <v>0</v>
      </c>
      <c r="O308" s="105" t="str">
        <f>IF(OR($F$20='Auto Responses'!$J$4,$E308='Auto Responses'!$L$13,$F308='Auto Responses'!$J$5),'Auto Responses'!$J$5,IF($J308="",$K308,IF($J308='Auto Responses'!$J$13,5,IF($J308='Auto Responses'!$J$12,10,IF($J308='Auto Responses'!$J$11,20,0)))))</f>
        <v>N/A</v>
      </c>
      <c r="P308" s="105" t="str">
        <f>IF(OR($O308='Auto Responses'!$J$5,$L308='Auto Responses'!$J$5),'Auto Responses'!$J$5,$O308*$L308)</f>
        <v>N/A</v>
      </c>
      <c r="Q308" s="105">
        <f t="shared" si="32"/>
        <v>0</v>
      </c>
      <c r="R308" s="105">
        <f t="shared" si="37"/>
        <v>0</v>
      </c>
      <c r="S308" s="105">
        <f t="shared" si="33"/>
        <v>0</v>
      </c>
      <c r="T308" s="105">
        <f t="shared" si="34"/>
        <v>0</v>
      </c>
      <c r="U308" s="105">
        <f t="shared" si="38"/>
        <v>74</v>
      </c>
      <c r="V308" s="105">
        <f t="shared" si="35"/>
        <v>0</v>
      </c>
    </row>
    <row r="309" spans="1:22" ht="56" x14ac:dyDescent="0.3">
      <c r="A309" s="4" t="str">
        <f>Questions!$A309</f>
        <v>AIGN-05</v>
      </c>
      <c r="B309" s="4" t="str">
        <f t="shared" si="36"/>
        <v>AIGN</v>
      </c>
      <c r="C309" s="4" t="str">
        <f>VLOOKUP($A309,Questions!$A$3:$L$333,2,0)&amp;""</f>
        <v>Does your solution support business rules to protect sensitive data from being ingested by the AI model?</v>
      </c>
      <c r="D309" s="4" t="str">
        <f>VLOOKUP($A309,Questions!$A$3:$L$333,11,0)&amp;""</f>
        <v/>
      </c>
      <c r="E309" s="4" t="str">
        <f>VLOOKUP($A309,Questions!$A$3:$L$333,12,0)&amp;""</f>
        <v>AI</v>
      </c>
      <c r="F309" s="4" t="str">
        <f>VLOOKUP($A309,'Institution Evaluation'!$A$56:$K$345,3,0)&amp;""</f>
        <v>Yes</v>
      </c>
      <c r="G309" s="4" t="str">
        <f>VLOOKUP($A309,'Institution Evaluation'!$A$56:$K$345,7,0)&amp;""</f>
        <v>Yes</v>
      </c>
      <c r="H309" s="4" t="str">
        <f>VLOOKUP($A309,'Institution Evaluation'!$A$56:$K$345,8,0)&amp;""</f>
        <v/>
      </c>
      <c r="I309" s="4" t="str">
        <f>VLOOKUP($A309,'Institution Evaluation'!$A$56:$K$345,9,0)&amp;""</f>
        <v>Standard Importance</v>
      </c>
      <c r="J309" s="4" t="str">
        <f>VLOOKUP($A309,'Institution Evaluation'!$A$56:$K$345,10,0)&amp;""</f>
        <v/>
      </c>
      <c r="K309" s="4">
        <f>IF($I309='Auto Responses'!$J$11,20,IF($I309='Auto Responses'!$J$13,5,10))</f>
        <v>10</v>
      </c>
      <c r="L309" s="105">
        <f>IF($E309='Auto Responses'!$L$13, 'Auto Responses'!$J$5,IF(AND($D309='Auto Responses'!$J$27,$H309=""),'Auto Responses'!$J$5,IF(AND($D309='Auto Responses'!$J$27,$H309='Auto Responses'!$J$7),1,IF(AND($D309='Auto Responses'!$J$27,$H309='Auto Responses'!$J$8),0,IF(OR(AND($F309=$G309,$H309=""),$H309='Auto Responses'!$J$7),1,0)))))</f>
        <v>1</v>
      </c>
      <c r="M309" s="4" t="str">
        <f>VLOOKUP($A309,'Institution Evaluation'!$A$56:$K$345,11,0)&amp;""</f>
        <v>FALSE</v>
      </c>
      <c r="N309" s="4">
        <f>IF($J309='Auto Responses'!$J$11,1,IF(AND($J309="",$I309='Auto Responses'!$J$11),1,0))</f>
        <v>0</v>
      </c>
      <c r="O309" s="105">
        <f>IF(OR($F$20='Auto Responses'!$J$4,$E309='Auto Responses'!$L$13,$F309='Auto Responses'!$J$5),'Auto Responses'!$J$5,IF($J309="",$K309,IF($J309='Auto Responses'!$J$13,5,IF($J309='Auto Responses'!$J$12,10,IF($J309='Auto Responses'!$J$11,20,0)))))</f>
        <v>10</v>
      </c>
      <c r="P309" s="105">
        <f>IF(OR($O309='Auto Responses'!$J$5,$L309='Auto Responses'!$J$5),'Auto Responses'!$J$5,$O309*$L309)</f>
        <v>10</v>
      </c>
      <c r="Q309" s="105">
        <f t="shared" si="32"/>
        <v>0</v>
      </c>
      <c r="R309" s="105">
        <f t="shared" si="37"/>
        <v>0</v>
      </c>
      <c r="S309" s="105">
        <f t="shared" si="33"/>
        <v>0</v>
      </c>
      <c r="T309" s="105">
        <f t="shared" si="34"/>
        <v>0</v>
      </c>
      <c r="U309" s="105">
        <f t="shared" si="38"/>
        <v>74</v>
      </c>
      <c r="V309" s="105">
        <f t="shared" si="35"/>
        <v>0</v>
      </c>
    </row>
    <row r="310" spans="1:22" ht="70" x14ac:dyDescent="0.3">
      <c r="A310" s="4" t="str">
        <f>Questions!$A310</f>
        <v>AIPL-01</v>
      </c>
      <c r="B310" s="4" t="str">
        <f t="shared" si="36"/>
        <v>AIPL</v>
      </c>
      <c r="C310" s="4" t="str">
        <f>VLOOKUP($A310,Questions!$A$3:$L$333,2,0)&amp;""</f>
        <v>Are your AI developer's policies, processes, procedures, and practices across the organization related to the mapping, measuring, and managing of AI risks conspicuously posted, unambiguous, and implemented effectively?*</v>
      </c>
      <c r="D310" s="4" t="str">
        <f>VLOOKUP($A310,Questions!$A$3:$L$333,11,0)&amp;""</f>
        <v/>
      </c>
      <c r="E310" s="4" t="str">
        <f>VLOOKUP($A310,Questions!$A$3:$L$333,12,0)&amp;""</f>
        <v>AI</v>
      </c>
      <c r="F310" s="4" t="str">
        <f>VLOOKUP($A310,'Institution Evaluation'!$A$56:$K$345,3,0)&amp;""</f>
        <v>Yes</v>
      </c>
      <c r="G310" s="4" t="str">
        <f>VLOOKUP($A310,'Institution Evaluation'!$A$56:$K$345,7,0)&amp;""</f>
        <v>Yes</v>
      </c>
      <c r="H310" s="4" t="str">
        <f>VLOOKUP($A310,'Institution Evaluation'!$A$56:$K$345,8,0)&amp;""</f>
        <v/>
      </c>
      <c r="I310" s="4" t="str">
        <f>VLOOKUP($A310,'Institution Evaluation'!$A$56:$K$345,9,0)&amp;""</f>
        <v>Critical Importance</v>
      </c>
      <c r="J310" s="4" t="str">
        <f>VLOOKUP($A310,'Institution Evaluation'!$A$56:$K$345,10,0)&amp;""</f>
        <v/>
      </c>
      <c r="K310" s="4">
        <f>IF($I310='Auto Responses'!$J$11,20,IF($I310='Auto Responses'!$J$13,5,10))</f>
        <v>20</v>
      </c>
      <c r="L310" s="105">
        <f>IF($E310='Auto Responses'!$L$13, 'Auto Responses'!$J$5,IF(AND($D310='Auto Responses'!$J$27,$H310=""),'Auto Responses'!$J$5,IF(AND($D310='Auto Responses'!$J$27,$H310='Auto Responses'!$J$7),1,IF(AND($D310='Auto Responses'!$J$27,$H310='Auto Responses'!$J$8),0,IF(OR(AND($F310=$G310,$H310=""),$H310='Auto Responses'!$J$7),1,0)))))</f>
        <v>1</v>
      </c>
      <c r="M310" s="4" t="str">
        <f>VLOOKUP($A310,'Institution Evaluation'!$A$56:$K$345,11,0)&amp;""</f>
        <v>FALSE</v>
      </c>
      <c r="N310" s="4">
        <f>IF($J310='Auto Responses'!$J$11,1,IF(AND($J310="",$I310='Auto Responses'!$J$11),1,0))</f>
        <v>1</v>
      </c>
      <c r="O310" s="105">
        <f>IF(OR($F$20='Auto Responses'!$J$4,$E310='Auto Responses'!$L$13,$F310='Auto Responses'!$J$5),'Auto Responses'!$J$5,IF($J310="",$K310,IF($J310='Auto Responses'!$J$13,5,IF($J310='Auto Responses'!$J$12,10,IF($J310='Auto Responses'!$J$11,20,0)))))</f>
        <v>20</v>
      </c>
      <c r="P310" s="105">
        <f>IF(OR($O310='Auto Responses'!$J$5,$L310='Auto Responses'!$J$5),'Auto Responses'!$J$5,$O310*$L310)</f>
        <v>20</v>
      </c>
      <c r="Q310" s="105">
        <f t="shared" si="32"/>
        <v>0</v>
      </c>
      <c r="R310" s="105">
        <f t="shared" si="37"/>
        <v>0</v>
      </c>
      <c r="S310" s="105">
        <f t="shared" si="33"/>
        <v>0</v>
      </c>
      <c r="T310" s="105">
        <f t="shared" si="34"/>
        <v>1</v>
      </c>
      <c r="U310" s="105">
        <f t="shared" si="38"/>
        <v>75</v>
      </c>
      <c r="V310" s="105">
        <f t="shared" si="35"/>
        <v>75</v>
      </c>
    </row>
    <row r="311" spans="1:22" ht="56" x14ac:dyDescent="0.3">
      <c r="A311" s="4" t="str">
        <f>Questions!$A311</f>
        <v>AIPL-02</v>
      </c>
      <c r="B311" s="4" t="str">
        <f t="shared" si="36"/>
        <v>AIPL</v>
      </c>
      <c r="C311" s="4" t="str">
        <f>VLOOKUP($A311,Questions!$A$3:$L$333,2,0)&amp;""</f>
        <v>Have you identified and measured AI risks?*</v>
      </c>
      <c r="D311" s="4" t="str">
        <f>VLOOKUP($A311,Questions!$A$3:$L$333,11,0)&amp;""</f>
        <v/>
      </c>
      <c r="E311" s="4" t="str">
        <f>VLOOKUP($A311,Questions!$A$3:$L$333,12,0)&amp;""</f>
        <v>AI</v>
      </c>
      <c r="F311" s="4" t="str">
        <f>VLOOKUP($A311,'Institution Evaluation'!$A$56:$K$345,3,0)&amp;""</f>
        <v>Yes</v>
      </c>
      <c r="G311" s="4" t="str">
        <f>VLOOKUP($A311,'Institution Evaluation'!$A$56:$K$345,7,0)&amp;""</f>
        <v>Yes</v>
      </c>
      <c r="H311" s="4" t="str">
        <f>VLOOKUP($A311,'Institution Evaluation'!$A$56:$K$345,8,0)&amp;""</f>
        <v/>
      </c>
      <c r="I311" s="4" t="str">
        <f>VLOOKUP($A311,'Institution Evaluation'!$A$56:$K$345,9,0)&amp;""</f>
        <v>Critical Importance</v>
      </c>
      <c r="J311" s="4" t="str">
        <f>VLOOKUP($A311,'Institution Evaluation'!$A$56:$K$345,10,0)&amp;""</f>
        <v/>
      </c>
      <c r="K311" s="4">
        <f>IF($I311='Auto Responses'!$J$11,20,IF($I311='Auto Responses'!$J$13,5,10))</f>
        <v>20</v>
      </c>
      <c r="L311" s="105">
        <f>IF($E311='Auto Responses'!$L$13, 'Auto Responses'!$J$5,IF(AND($D311='Auto Responses'!$J$27,$H311=""),'Auto Responses'!$J$5,IF(AND($D311='Auto Responses'!$J$27,$H311='Auto Responses'!$J$7),1,IF(AND($D311='Auto Responses'!$J$27,$H311='Auto Responses'!$J$8),0,IF(OR(AND($F311=$G311,$H311=""),$H311='Auto Responses'!$J$7),1,0)))))</f>
        <v>1</v>
      </c>
      <c r="M311" s="4" t="str">
        <f>VLOOKUP($A311,'Institution Evaluation'!$A$56:$K$345,11,0)&amp;""</f>
        <v>FALSE</v>
      </c>
      <c r="N311" s="4">
        <f>IF($J311='Auto Responses'!$J$11,1,IF(AND($J311="",$I311='Auto Responses'!$J$11),1,0))</f>
        <v>1</v>
      </c>
      <c r="O311" s="105">
        <f>IF(OR($F$20='Auto Responses'!$J$4,$E311='Auto Responses'!$L$13,$F311='Auto Responses'!$J$5),'Auto Responses'!$J$5,IF($J311="",$K311,IF($J311='Auto Responses'!$J$13,5,IF($J311='Auto Responses'!$J$12,10,IF($J311='Auto Responses'!$J$11,20,0)))))</f>
        <v>20</v>
      </c>
      <c r="P311" s="105">
        <f>IF(OR($O311='Auto Responses'!$J$5,$L311='Auto Responses'!$J$5),'Auto Responses'!$J$5,$O311*$L311)</f>
        <v>20</v>
      </c>
      <c r="Q311" s="105">
        <f t="shared" si="32"/>
        <v>0</v>
      </c>
      <c r="R311" s="105">
        <f t="shared" si="37"/>
        <v>0</v>
      </c>
      <c r="S311" s="105">
        <f t="shared" si="33"/>
        <v>0</v>
      </c>
      <c r="T311" s="105">
        <f t="shared" si="34"/>
        <v>1</v>
      </c>
      <c r="U311" s="105">
        <f t="shared" si="38"/>
        <v>76</v>
      </c>
      <c r="V311" s="105">
        <f t="shared" si="35"/>
        <v>76</v>
      </c>
    </row>
    <row r="312" spans="1:22" ht="56" x14ac:dyDescent="0.3">
      <c r="A312" s="4" t="str">
        <f>Questions!$A312</f>
        <v>AIPL-03</v>
      </c>
      <c r="B312" s="4" t="str">
        <f t="shared" si="36"/>
        <v>AIPL</v>
      </c>
      <c r="C312" s="4" t="str">
        <f>VLOOKUP($A312,Questions!$A$3:$L$333,2,0)&amp;""</f>
        <v>In the event of an incident, can your solution's AI features be disabled in a timely manner?*</v>
      </c>
      <c r="D312" s="4" t="str">
        <f>VLOOKUP($A312,Questions!$A$3:$L$333,11,0)&amp;""</f>
        <v/>
      </c>
      <c r="E312" s="4" t="str">
        <f>VLOOKUP($A312,Questions!$A$3:$L$333,12,0)&amp;""</f>
        <v>AI</v>
      </c>
      <c r="F312" s="4" t="str">
        <f>VLOOKUP($A312,'Institution Evaluation'!$A$56:$K$345,3,0)&amp;""</f>
        <v>Yes</v>
      </c>
      <c r="G312" s="4" t="str">
        <f>VLOOKUP($A312,'Institution Evaluation'!$A$56:$K$345,7,0)&amp;""</f>
        <v>Yes</v>
      </c>
      <c r="H312" s="4" t="str">
        <f>VLOOKUP($A312,'Institution Evaluation'!$A$56:$K$345,8,0)&amp;""</f>
        <v/>
      </c>
      <c r="I312" s="4" t="str">
        <f>VLOOKUP($A312,'Institution Evaluation'!$A$56:$K$345,9,0)&amp;""</f>
        <v>Critical Importance</v>
      </c>
      <c r="J312" s="4" t="str">
        <f>VLOOKUP($A312,'Institution Evaluation'!$A$56:$K$345,10,0)&amp;""</f>
        <v/>
      </c>
      <c r="K312" s="4">
        <f>IF($I312='Auto Responses'!$J$11,20,IF($I312='Auto Responses'!$J$13,5,10))</f>
        <v>20</v>
      </c>
      <c r="L312" s="105">
        <f>IF($E312='Auto Responses'!$L$13, 'Auto Responses'!$J$5,IF(AND($D312='Auto Responses'!$J$27,$H312=""),'Auto Responses'!$J$5,IF(AND($D312='Auto Responses'!$J$27,$H312='Auto Responses'!$J$7),1,IF(AND($D312='Auto Responses'!$J$27,$H312='Auto Responses'!$J$8),0,IF(OR(AND($F312=$G312,$H312=""),$H312='Auto Responses'!$J$7),1,0)))))</f>
        <v>1</v>
      </c>
      <c r="M312" s="4" t="str">
        <f>VLOOKUP($A312,'Institution Evaluation'!$A$56:$K$345,11,0)&amp;""</f>
        <v>FALSE</v>
      </c>
      <c r="N312" s="4">
        <f>IF($J312='Auto Responses'!$J$11,1,IF(AND($J312="",$I312='Auto Responses'!$J$11),1,0))</f>
        <v>1</v>
      </c>
      <c r="O312" s="105">
        <f>IF(OR($F$20='Auto Responses'!$J$4,$E312='Auto Responses'!$L$13,$F312='Auto Responses'!$J$5),'Auto Responses'!$J$5,IF($J312="",$K312,IF($J312='Auto Responses'!$J$13,5,IF($J312='Auto Responses'!$J$12,10,IF($J312='Auto Responses'!$J$11,20,0)))))</f>
        <v>20</v>
      </c>
      <c r="P312" s="105">
        <f>IF(OR($O312='Auto Responses'!$J$5,$L312='Auto Responses'!$J$5),'Auto Responses'!$J$5,$O312*$L312)</f>
        <v>20</v>
      </c>
      <c r="Q312" s="105">
        <f t="shared" si="32"/>
        <v>0</v>
      </c>
      <c r="R312" s="105">
        <f t="shared" si="37"/>
        <v>0</v>
      </c>
      <c r="S312" s="105">
        <f t="shared" si="33"/>
        <v>0</v>
      </c>
      <c r="T312" s="105">
        <f t="shared" si="34"/>
        <v>1</v>
      </c>
      <c r="U312" s="105">
        <f t="shared" si="38"/>
        <v>77</v>
      </c>
      <c r="V312" s="105">
        <f t="shared" si="35"/>
        <v>77</v>
      </c>
    </row>
    <row r="313" spans="1:22" ht="56" x14ac:dyDescent="0.3">
      <c r="A313" s="4" t="str">
        <f>Questions!$A313</f>
        <v>AIPL-04</v>
      </c>
      <c r="B313" s="4" t="str">
        <f t="shared" si="36"/>
        <v>AIPL</v>
      </c>
      <c r="C313" s="4" t="str">
        <f>VLOOKUP($A313,Questions!$A$3:$L$333,2,0)&amp;""</f>
        <v>If disabled because of an incident, can your solution's AI features be re-enabled in a timely manner?*</v>
      </c>
      <c r="D313" s="4" t="str">
        <f>VLOOKUP($A313,Questions!$A$3:$L$333,11,0)&amp;""</f>
        <v/>
      </c>
      <c r="E313" s="4" t="str">
        <f>VLOOKUP($A313,Questions!$A$3:$L$333,12,0)&amp;""</f>
        <v>AI</v>
      </c>
      <c r="F313" s="4" t="str">
        <f>VLOOKUP($A313,'Institution Evaluation'!$A$56:$K$345,3,0)&amp;""</f>
        <v>Yes</v>
      </c>
      <c r="G313" s="4" t="str">
        <f>VLOOKUP($A313,'Institution Evaluation'!$A$56:$K$345,7,0)&amp;""</f>
        <v>Yes</v>
      </c>
      <c r="H313" s="4" t="str">
        <f>VLOOKUP($A313,'Institution Evaluation'!$A$56:$K$345,8,0)&amp;""</f>
        <v/>
      </c>
      <c r="I313" s="4" t="str">
        <f>VLOOKUP($A313,'Institution Evaluation'!$A$56:$K$345,9,0)&amp;""</f>
        <v>Critical Importance</v>
      </c>
      <c r="J313" s="4" t="str">
        <f>VLOOKUP($A313,'Institution Evaluation'!$A$56:$K$345,10,0)&amp;""</f>
        <v/>
      </c>
      <c r="K313" s="4">
        <f>IF($I313='Auto Responses'!$J$11,20,IF($I313='Auto Responses'!$J$13,5,10))</f>
        <v>20</v>
      </c>
      <c r="L313" s="105">
        <f>IF($E313='Auto Responses'!$L$13, 'Auto Responses'!$J$5,IF(AND($D313='Auto Responses'!$J$27,$H313=""),'Auto Responses'!$J$5,IF(AND($D313='Auto Responses'!$J$27,$H313='Auto Responses'!$J$7),1,IF(AND($D313='Auto Responses'!$J$27,$H313='Auto Responses'!$J$8),0,IF(OR(AND($F313=$G313,$H313=""),$H313='Auto Responses'!$J$7),1,0)))))</f>
        <v>1</v>
      </c>
      <c r="M313" s="4" t="str">
        <f>VLOOKUP($A313,'Institution Evaluation'!$A$56:$K$345,11,0)&amp;""</f>
        <v>FALSE</v>
      </c>
      <c r="N313" s="4">
        <f>IF($J313='Auto Responses'!$J$11,1,IF(AND($J313="",$I313='Auto Responses'!$J$11),1,0))</f>
        <v>1</v>
      </c>
      <c r="O313" s="105">
        <f>IF(OR($F$20='Auto Responses'!$J$4,$E313='Auto Responses'!$L$13,$F313='Auto Responses'!$J$5),'Auto Responses'!$J$5,IF($J313="",$K313,IF($J313='Auto Responses'!$J$13,5,IF($J313='Auto Responses'!$J$12,10,IF($J313='Auto Responses'!$J$11,20,0)))))</f>
        <v>20</v>
      </c>
      <c r="P313" s="105">
        <f>IF(OR($O313='Auto Responses'!$J$5,$L313='Auto Responses'!$J$5),'Auto Responses'!$J$5,$O313*$L313)</f>
        <v>20</v>
      </c>
      <c r="Q313" s="105">
        <f t="shared" si="32"/>
        <v>0</v>
      </c>
      <c r="R313" s="105">
        <f t="shared" si="37"/>
        <v>0</v>
      </c>
      <c r="S313" s="105">
        <f t="shared" si="33"/>
        <v>0</v>
      </c>
      <c r="T313" s="105">
        <f t="shared" si="34"/>
        <v>1</v>
      </c>
      <c r="U313" s="105">
        <f t="shared" si="38"/>
        <v>78</v>
      </c>
      <c r="V313" s="105">
        <f t="shared" si="35"/>
        <v>78</v>
      </c>
    </row>
    <row r="314" spans="1:22" ht="56" x14ac:dyDescent="0.3">
      <c r="A314" s="4" t="str">
        <f>Questions!$A314</f>
        <v>AIPL-05</v>
      </c>
      <c r="B314" s="4" t="str">
        <f t="shared" si="36"/>
        <v>AIPL</v>
      </c>
      <c r="C314" s="4" t="str">
        <f>VLOOKUP($A314,Questions!$A$3:$L$333,2,0)&amp;""</f>
        <v>Do you have documented technical and procedural processes to address potential negative impacts of AI as described by the AI Risk Management Framework (RMF)?</v>
      </c>
      <c r="D314" s="4" t="str">
        <f>VLOOKUP($A314,Questions!$A$3:$L$333,11,0)&amp;""</f>
        <v/>
      </c>
      <c r="E314" s="4" t="str">
        <f>VLOOKUP($A314,Questions!$A$3:$L$333,12,0)&amp;""</f>
        <v>AI</v>
      </c>
      <c r="F314" s="4" t="str">
        <f>VLOOKUP($A314,'Institution Evaluation'!$A$56:$K$345,3,0)&amp;""</f>
        <v>Yes</v>
      </c>
      <c r="G314" s="4" t="str">
        <f>VLOOKUP($A314,'Institution Evaluation'!$A$56:$K$345,7,0)&amp;""</f>
        <v>Yes</v>
      </c>
      <c r="H314" s="4" t="str">
        <f>VLOOKUP($A314,'Institution Evaluation'!$A$56:$K$345,8,0)&amp;""</f>
        <v/>
      </c>
      <c r="I314" s="4" t="str">
        <f>VLOOKUP($A314,'Institution Evaluation'!$A$56:$K$345,9,0)&amp;""</f>
        <v>Minor Importance</v>
      </c>
      <c r="J314" s="4" t="str">
        <f>VLOOKUP($A314,'Institution Evaluation'!$A$56:$K$345,10,0)&amp;""</f>
        <v/>
      </c>
      <c r="K314" s="4">
        <f>IF($I314='Auto Responses'!$J$11,20,IF($I314='Auto Responses'!$J$13,5,10))</f>
        <v>5</v>
      </c>
      <c r="L314" s="105">
        <f>IF($E314='Auto Responses'!$L$13, 'Auto Responses'!$J$5,IF(AND($D314='Auto Responses'!$J$27,$H314=""),'Auto Responses'!$J$5,IF(AND($D314='Auto Responses'!$J$27,$H314='Auto Responses'!$J$7),1,IF(AND($D314='Auto Responses'!$J$27,$H314='Auto Responses'!$J$8),0,IF(OR(AND($F314=$G314,$H314=""),$H314='Auto Responses'!$J$7),1,0)))))</f>
        <v>1</v>
      </c>
      <c r="M314" s="4" t="str">
        <f>VLOOKUP($A314,'Institution Evaluation'!$A$56:$K$345,11,0)&amp;""</f>
        <v>FALSE</v>
      </c>
      <c r="N314" s="4">
        <f>IF($J314='Auto Responses'!$J$11,1,IF(AND($J314="",$I314='Auto Responses'!$J$11),1,0))</f>
        <v>0</v>
      </c>
      <c r="O314" s="105">
        <f>IF(OR($F$20='Auto Responses'!$J$4,$E314='Auto Responses'!$L$13,$F314='Auto Responses'!$J$5),'Auto Responses'!$J$5,IF($J314="",$K314,IF($J314='Auto Responses'!$J$13,5,IF($J314='Auto Responses'!$J$12,10,IF($J314='Auto Responses'!$J$11,20,0)))))</f>
        <v>5</v>
      </c>
      <c r="P314" s="105">
        <f>IF(OR($O314='Auto Responses'!$J$5,$L314='Auto Responses'!$J$5),'Auto Responses'!$J$5,$O314*$L314)</f>
        <v>5</v>
      </c>
      <c r="Q314" s="105">
        <f t="shared" si="32"/>
        <v>0</v>
      </c>
      <c r="R314" s="105">
        <f t="shared" si="37"/>
        <v>0</v>
      </c>
      <c r="S314" s="105">
        <f t="shared" si="33"/>
        <v>0</v>
      </c>
      <c r="T314" s="105">
        <f t="shared" si="34"/>
        <v>0</v>
      </c>
      <c r="U314" s="105">
        <f t="shared" si="38"/>
        <v>78</v>
      </c>
      <c r="V314" s="105">
        <f t="shared" si="35"/>
        <v>0</v>
      </c>
    </row>
    <row r="315" spans="1:22" ht="56" x14ac:dyDescent="0.3">
      <c r="A315" s="4" t="str">
        <f>Questions!$A315</f>
        <v>AISC-01</v>
      </c>
      <c r="B315" s="4" t="str">
        <f t="shared" si="36"/>
        <v>AISC</v>
      </c>
      <c r="C315" s="4" t="str">
        <f>VLOOKUP($A315,Questions!$A$3:$L$333,2,0)&amp;""</f>
        <v>If sensitive data is introduced to your solution's AI model, can the data be removed from the AI model by request?*</v>
      </c>
      <c r="D315" s="4" t="str">
        <f>VLOOKUP($A315,Questions!$A$3:$L$333,11,0)&amp;""</f>
        <v/>
      </c>
      <c r="E315" s="4" t="str">
        <f>VLOOKUP($A315,Questions!$A$3:$L$333,12,0)&amp;""</f>
        <v>AI</v>
      </c>
      <c r="F315" s="4" t="str">
        <f>VLOOKUP($A315,'Institution Evaluation'!$A$56:$K$345,3,0)&amp;""</f>
        <v>No</v>
      </c>
      <c r="G315" s="4" t="str">
        <f>VLOOKUP($A315,'Institution Evaluation'!$A$56:$K$345,7,0)&amp;""</f>
        <v>Yes</v>
      </c>
      <c r="H315" s="4" t="str">
        <f>VLOOKUP($A315,'Institution Evaluation'!$A$56:$K$345,8,0)&amp;""</f>
        <v/>
      </c>
      <c r="I315" s="4" t="str">
        <f>VLOOKUP($A315,'Institution Evaluation'!$A$56:$K$345,9,0)&amp;""</f>
        <v>Critical Importance</v>
      </c>
      <c r="J315" s="4" t="str">
        <f>VLOOKUP($A315,'Institution Evaluation'!$A$56:$K$345,10,0)&amp;""</f>
        <v/>
      </c>
      <c r="K315" s="4">
        <f>IF($I315='Auto Responses'!$J$11,20,IF($I315='Auto Responses'!$J$13,5,10))</f>
        <v>20</v>
      </c>
      <c r="L315" s="105">
        <f>IF($E315='Auto Responses'!$L$13, 'Auto Responses'!$J$5,IF(AND($D315='Auto Responses'!$J$27,$H315=""),'Auto Responses'!$J$5,IF(AND($D315='Auto Responses'!$J$27,$H315='Auto Responses'!$J$7),1,IF(AND($D315='Auto Responses'!$J$27,$H315='Auto Responses'!$J$8),0,IF(OR(AND($F315=$G315,$H315=""),$H315='Auto Responses'!$J$7),1,0)))))</f>
        <v>0</v>
      </c>
      <c r="M315" s="4" t="str">
        <f>VLOOKUP($A315,'Institution Evaluation'!$A$56:$K$345,11,0)&amp;""</f>
        <v>FALSE</v>
      </c>
      <c r="N315" s="4">
        <f>IF($J315='Auto Responses'!$J$11,1,IF(AND($J315="",$I315='Auto Responses'!$J$11),1,0))</f>
        <v>1</v>
      </c>
      <c r="O315" s="105">
        <f>IF(OR($F$20='Auto Responses'!$J$4,$E315='Auto Responses'!$L$13,$F315='Auto Responses'!$J$5),'Auto Responses'!$J$5,IF($J315="",$K315,IF($J315='Auto Responses'!$J$13,5,IF($J315='Auto Responses'!$J$12,10,IF($J315='Auto Responses'!$J$11,20,0)))))</f>
        <v>20</v>
      </c>
      <c r="P315" s="105">
        <f>IF(OR($O315='Auto Responses'!$J$5,$L315='Auto Responses'!$J$5),'Auto Responses'!$J$5,$O315*$L315)</f>
        <v>0</v>
      </c>
      <c r="Q315" s="105">
        <f t="shared" si="32"/>
        <v>0</v>
      </c>
      <c r="R315" s="105">
        <f t="shared" si="37"/>
        <v>0</v>
      </c>
      <c r="S315" s="105">
        <f t="shared" si="33"/>
        <v>0</v>
      </c>
      <c r="T315" s="105">
        <f t="shared" si="34"/>
        <v>1</v>
      </c>
      <c r="U315" s="105">
        <f t="shared" si="38"/>
        <v>79</v>
      </c>
      <c r="V315" s="105">
        <f t="shared" si="35"/>
        <v>79</v>
      </c>
    </row>
    <row r="316" spans="1:22" ht="56" x14ac:dyDescent="0.3">
      <c r="A316" s="4" t="str">
        <f>Questions!$A316</f>
        <v>AISC-02</v>
      </c>
      <c r="B316" s="4" t="str">
        <f t="shared" si="36"/>
        <v>AISC</v>
      </c>
      <c r="C316" s="4" t="str">
        <f>VLOOKUP($A316,Questions!$A$3:$L$333,2,0)&amp;""</f>
        <v>Is user input data used to influence your solution's AI model?*</v>
      </c>
      <c r="D316" s="4" t="str">
        <f>VLOOKUP($A316,Questions!$A$3:$L$333,11,0)&amp;""</f>
        <v/>
      </c>
      <c r="E316" s="4" t="str">
        <f>VLOOKUP($A316,Questions!$A$3:$L$333,12,0)&amp;""</f>
        <v>AI</v>
      </c>
      <c r="F316" s="4" t="str">
        <f>VLOOKUP($A316,'Institution Evaluation'!$A$56:$K$345,3,0)&amp;""</f>
        <v>No</v>
      </c>
      <c r="G316" s="4" t="str">
        <f>VLOOKUP($A316,'Institution Evaluation'!$A$56:$K$345,7,0)&amp;""</f>
        <v>No</v>
      </c>
      <c r="H316" s="4" t="str">
        <f>VLOOKUP($A316,'Institution Evaluation'!$A$56:$K$345,8,0)&amp;""</f>
        <v/>
      </c>
      <c r="I316" s="4" t="str">
        <f>VLOOKUP($A316,'Institution Evaluation'!$A$56:$K$345,9,0)&amp;""</f>
        <v>Critical Importance</v>
      </c>
      <c r="J316" s="4" t="str">
        <f>VLOOKUP($A316,'Institution Evaluation'!$A$56:$K$345,10,0)&amp;""</f>
        <v/>
      </c>
      <c r="K316" s="4">
        <f>IF($I316='Auto Responses'!$J$11,20,IF($I316='Auto Responses'!$J$13,5,10))</f>
        <v>20</v>
      </c>
      <c r="L316" s="105">
        <f>IF($E316='Auto Responses'!$L$13, 'Auto Responses'!$J$5,IF(AND($D316='Auto Responses'!$J$27,$H316=""),'Auto Responses'!$J$5,IF(AND($D316='Auto Responses'!$J$27,$H316='Auto Responses'!$J$7),1,IF(AND($D316='Auto Responses'!$J$27,$H316='Auto Responses'!$J$8),0,IF(OR(AND($F316=$G316,$H316=""),$H316='Auto Responses'!$J$7),1,0)))))</f>
        <v>1</v>
      </c>
      <c r="M316" s="4" t="str">
        <f>VLOOKUP($A316,'Institution Evaluation'!$A$56:$K$345,11,0)&amp;""</f>
        <v>FALSE</v>
      </c>
      <c r="N316" s="4">
        <f>IF($J316='Auto Responses'!$J$11,1,IF(AND($J316="",$I316='Auto Responses'!$J$11),1,0))</f>
        <v>1</v>
      </c>
      <c r="O316" s="105">
        <f>IF(OR($F$20='Auto Responses'!$J$4,$E316='Auto Responses'!$L$13,$F316='Auto Responses'!$J$5),'Auto Responses'!$J$5,IF($J316="",$K316,IF($J316='Auto Responses'!$J$13,5,IF($J316='Auto Responses'!$J$12,10,IF($J316='Auto Responses'!$J$11,20,0)))))</f>
        <v>20</v>
      </c>
      <c r="P316" s="105">
        <f>IF(OR($O316='Auto Responses'!$J$5,$L316='Auto Responses'!$J$5),'Auto Responses'!$J$5,$O316*$L316)</f>
        <v>20</v>
      </c>
      <c r="Q316" s="105">
        <f t="shared" si="32"/>
        <v>0</v>
      </c>
      <c r="R316" s="105">
        <f t="shared" si="37"/>
        <v>0</v>
      </c>
      <c r="S316" s="105">
        <f t="shared" si="33"/>
        <v>0</v>
      </c>
      <c r="T316" s="105">
        <f t="shared" si="34"/>
        <v>1</v>
      </c>
      <c r="U316" s="105">
        <f t="shared" si="38"/>
        <v>80</v>
      </c>
      <c r="V316" s="105">
        <f t="shared" si="35"/>
        <v>80</v>
      </c>
    </row>
    <row r="317" spans="1:22" ht="56" x14ac:dyDescent="0.3">
      <c r="A317" s="4" t="str">
        <f>Questions!$A317</f>
        <v>AISC-03</v>
      </c>
      <c r="B317" s="4" t="str">
        <f t="shared" si="36"/>
        <v>AISC</v>
      </c>
      <c r="C317" s="4" t="str">
        <f>VLOOKUP($A317,Questions!$A$3:$L$333,2,0)&amp;""</f>
        <v>Do you provide logging for your solution's AI feature(s) that includes user, date, and action taken?*</v>
      </c>
      <c r="D317" s="4" t="str">
        <f>VLOOKUP($A317,Questions!$A$3:$L$333,11,0)&amp;""</f>
        <v/>
      </c>
      <c r="E317" s="4" t="str">
        <f>VLOOKUP($A317,Questions!$A$3:$L$333,12,0)&amp;""</f>
        <v>AI</v>
      </c>
      <c r="F317" s="4" t="str">
        <f>VLOOKUP($A317,'Institution Evaluation'!$A$56:$K$345,3,0)&amp;""</f>
        <v>Yes</v>
      </c>
      <c r="G317" s="4" t="str">
        <f>VLOOKUP($A317,'Institution Evaluation'!$A$56:$K$345,7,0)&amp;""</f>
        <v>Yes</v>
      </c>
      <c r="H317" s="4" t="str">
        <f>VLOOKUP($A317,'Institution Evaluation'!$A$56:$K$345,8,0)&amp;""</f>
        <v/>
      </c>
      <c r="I317" s="4" t="str">
        <f>VLOOKUP($A317,'Institution Evaluation'!$A$56:$K$345,9,0)&amp;""</f>
        <v>Critical Importance</v>
      </c>
      <c r="J317" s="4" t="str">
        <f>VLOOKUP($A317,'Institution Evaluation'!$A$56:$K$345,10,0)&amp;""</f>
        <v/>
      </c>
      <c r="K317" s="4">
        <f>IF($I317='Auto Responses'!$J$11,20,IF($I317='Auto Responses'!$J$13,5,10))</f>
        <v>20</v>
      </c>
      <c r="L317" s="105">
        <f>IF($E317='Auto Responses'!$L$13, 'Auto Responses'!$J$5,IF(AND($D317='Auto Responses'!$J$27,$H317=""),'Auto Responses'!$J$5,IF(AND($D317='Auto Responses'!$J$27,$H317='Auto Responses'!$J$7),1,IF(AND($D317='Auto Responses'!$J$27,$H317='Auto Responses'!$J$8),0,IF(OR(AND($F317=$G317,$H317=""),$H317='Auto Responses'!$J$7),1,0)))))</f>
        <v>1</v>
      </c>
      <c r="M317" s="4" t="str">
        <f>VLOOKUP($A317,'Institution Evaluation'!$A$56:$K$345,11,0)&amp;""</f>
        <v>FALSE</v>
      </c>
      <c r="N317" s="4">
        <f>IF($J317='Auto Responses'!$J$11,1,IF(AND($J317="",$I317='Auto Responses'!$J$11),1,0))</f>
        <v>1</v>
      </c>
      <c r="O317" s="105">
        <f>IF(OR($F$20='Auto Responses'!$J$4,$E317='Auto Responses'!$L$13,$F317='Auto Responses'!$J$5),'Auto Responses'!$J$5,IF($J317="",$K317,IF($J317='Auto Responses'!$J$13,5,IF($J317='Auto Responses'!$J$12,10,IF($J317='Auto Responses'!$J$11,20,0)))))</f>
        <v>20</v>
      </c>
      <c r="P317" s="105">
        <f>IF(OR($O317='Auto Responses'!$J$5,$L317='Auto Responses'!$J$5),'Auto Responses'!$J$5,$O317*$L317)</f>
        <v>20</v>
      </c>
      <c r="Q317" s="105">
        <f t="shared" ref="Q317:Q333" si="39">IF(M317="TRUE",1,0)</f>
        <v>0</v>
      </c>
      <c r="R317" s="105">
        <f t="shared" si="37"/>
        <v>0</v>
      </c>
      <c r="S317" s="105">
        <f t="shared" ref="S317:S333" si="40">IF(Q317=0,0,R317)</f>
        <v>0</v>
      </c>
      <c r="T317" s="105">
        <f t="shared" ref="T317:T333" si="41">IF(N317=1,1,0)</f>
        <v>1</v>
      </c>
      <c r="U317" s="105">
        <f t="shared" si="38"/>
        <v>81</v>
      </c>
      <c r="V317" s="105">
        <f t="shared" ref="V317:V333" si="42">IF(T317=0,0,U317)</f>
        <v>81</v>
      </c>
    </row>
    <row r="318" spans="1:22" ht="56" x14ac:dyDescent="0.3">
      <c r="A318" s="4" t="str">
        <f>Questions!$A318</f>
        <v>AISC-04</v>
      </c>
      <c r="B318" s="4" t="str">
        <f t="shared" ref="B318:B333" si="43">LEFT(A318,4)</f>
        <v>AISC</v>
      </c>
      <c r="C318" s="4" t="str">
        <f>VLOOKUP($A318,Questions!$A$3:$L$333,2,0)&amp;""</f>
        <v>Please describe how you validate user inputs.</v>
      </c>
      <c r="D318" s="4" t="str">
        <f>VLOOKUP($A318,Questions!$A$3:$L$333,11,0)&amp;""</f>
        <v/>
      </c>
      <c r="E318" s="4" t="str">
        <f>VLOOKUP($A318,Questions!$A$3:$L$333,12,0)&amp;""</f>
        <v>Not scored</v>
      </c>
      <c r="F318" s="4" t="str">
        <f>VLOOKUP($A318,'Institution Evaluation'!$A$56:$K$345,3,0)&amp;""</f>
        <v/>
      </c>
      <c r="G318" s="4" t="str">
        <f>VLOOKUP($A318,'Institution Evaluation'!$A$56:$K$345,7,0)&amp;""</f>
        <v>Not scored</v>
      </c>
      <c r="H318" s="4" t="str">
        <f>VLOOKUP($A318,'Institution Evaluation'!$A$56:$K$345,8,0)&amp;""</f>
        <v/>
      </c>
      <c r="I318" s="4" t="str">
        <f>VLOOKUP($A318,'Institution Evaluation'!$A$56:$K$345,9,0)&amp;""</f>
        <v/>
      </c>
      <c r="J318" s="4" t="str">
        <f>VLOOKUP($A318,'Institution Evaluation'!$A$56:$K$345,10,0)&amp;""</f>
        <v/>
      </c>
      <c r="K318" s="4">
        <f>IF($I318='Auto Responses'!$J$11,20,IF($I318='Auto Responses'!$J$13,5,10))</f>
        <v>10</v>
      </c>
      <c r="L318" s="105" t="str">
        <f>IF($E318='Auto Responses'!$L$13, 'Auto Responses'!$J$5,IF(AND($D318='Auto Responses'!$J$27,$H318=""),'Auto Responses'!$J$5,IF(AND($D318='Auto Responses'!$J$27,$H318='Auto Responses'!$J$7),1,IF(AND($D318='Auto Responses'!$J$27,$H318='Auto Responses'!$J$8),0,IF(OR(AND($F318=$G318,$H318=""),$H318='Auto Responses'!$J$7),1,0)))))</f>
        <v>N/A</v>
      </c>
      <c r="M318" s="4" t="str">
        <f>VLOOKUP($A318,'Institution Evaluation'!$A$56:$K$345,11,0)&amp;""</f>
        <v>FALSE</v>
      </c>
      <c r="N318" s="4">
        <f>IF($J318='Auto Responses'!$J$11,1,IF(AND($J318="",$I318='Auto Responses'!$J$11),1,0))</f>
        <v>0</v>
      </c>
      <c r="O318" s="105" t="str">
        <f>IF(OR($F$20='Auto Responses'!$J$4,$E318='Auto Responses'!$L$13,$F318='Auto Responses'!$J$5),'Auto Responses'!$J$5,IF($J318="",$K318,IF($J318='Auto Responses'!$J$13,5,IF($J318='Auto Responses'!$J$12,10,IF($J318='Auto Responses'!$J$11,20,0)))))</f>
        <v>N/A</v>
      </c>
      <c r="P318" s="105" t="str">
        <f>IF(OR($O318='Auto Responses'!$J$5,$L318='Auto Responses'!$J$5),'Auto Responses'!$J$5,$O318*$L318)</f>
        <v>N/A</v>
      </c>
      <c r="Q318" s="105">
        <f t="shared" si="39"/>
        <v>0</v>
      </c>
      <c r="R318" s="105">
        <f t="shared" si="37"/>
        <v>0</v>
      </c>
      <c r="S318" s="105">
        <f t="shared" si="40"/>
        <v>0</v>
      </c>
      <c r="T318" s="105">
        <f t="shared" si="41"/>
        <v>0</v>
      </c>
      <c r="U318" s="105">
        <f t="shared" si="38"/>
        <v>81</v>
      </c>
      <c r="V318" s="105">
        <f t="shared" si="42"/>
        <v>0</v>
      </c>
    </row>
    <row r="319" spans="1:22" ht="56" x14ac:dyDescent="0.3">
      <c r="A319" s="4" t="str">
        <f>Questions!$A319</f>
        <v>AISC-05</v>
      </c>
      <c r="B319" s="4" t="str">
        <f t="shared" si="43"/>
        <v>AISC</v>
      </c>
      <c r="C319" s="4" t="str">
        <f>VLOOKUP($A319,Questions!$A$3:$L$333,2,0)&amp;""</f>
        <v>Do you plan for and mitigate supply-chain risk related to your AI features?</v>
      </c>
      <c r="D319" s="4" t="str">
        <f>VLOOKUP($A319,Questions!$A$3:$L$333,11,0)&amp;""</f>
        <v/>
      </c>
      <c r="E319" s="4" t="str">
        <f>VLOOKUP($A319,Questions!$A$3:$L$333,12,0)&amp;""</f>
        <v>AI</v>
      </c>
      <c r="F319" s="4" t="str">
        <f>VLOOKUP($A319,'Institution Evaluation'!$A$56:$K$345,3,0)&amp;""</f>
        <v>Yes</v>
      </c>
      <c r="G319" s="4" t="str">
        <f>VLOOKUP($A319,'Institution Evaluation'!$A$56:$K$345,7,0)&amp;""</f>
        <v>Yes</v>
      </c>
      <c r="H319" s="4" t="str">
        <f>VLOOKUP($A319,'Institution Evaluation'!$A$56:$K$345,8,0)&amp;""</f>
        <v/>
      </c>
      <c r="I319" s="4" t="str">
        <f>VLOOKUP($A319,'Institution Evaluation'!$A$56:$K$345,9,0)&amp;""</f>
        <v>Standard Importance</v>
      </c>
      <c r="J319" s="4" t="str">
        <f>VLOOKUP($A319,'Institution Evaluation'!$A$56:$K$345,10,0)&amp;""</f>
        <v/>
      </c>
      <c r="K319" s="4">
        <f>IF($I319='Auto Responses'!$J$11,20,IF($I319='Auto Responses'!$J$13,5,10))</f>
        <v>10</v>
      </c>
      <c r="L319" s="105">
        <f>IF($E319='Auto Responses'!$L$13, 'Auto Responses'!$J$5,IF(AND($D319='Auto Responses'!$J$27,$H319=""),'Auto Responses'!$J$5,IF(AND($D319='Auto Responses'!$J$27,$H319='Auto Responses'!$J$7),1,IF(AND($D319='Auto Responses'!$J$27,$H319='Auto Responses'!$J$8),0,IF(OR(AND($F319=$G319,$H319=""),$H319='Auto Responses'!$J$7),1,0)))))</f>
        <v>1</v>
      </c>
      <c r="M319" s="4" t="str">
        <f>VLOOKUP($A319,'Institution Evaluation'!$A$56:$K$345,11,0)&amp;""</f>
        <v>FALSE</v>
      </c>
      <c r="N319" s="4">
        <f>IF($J319='Auto Responses'!$J$11,1,IF(AND($J319="",$I319='Auto Responses'!$J$11),1,0))</f>
        <v>0</v>
      </c>
      <c r="O319" s="105">
        <f>IF(OR($F$20='Auto Responses'!$J$4,$E319='Auto Responses'!$L$13,$F319='Auto Responses'!$J$5),'Auto Responses'!$J$5,IF($J319="",$K319,IF($J319='Auto Responses'!$J$13,5,IF($J319='Auto Responses'!$J$12,10,IF($J319='Auto Responses'!$J$11,20,0)))))</f>
        <v>10</v>
      </c>
      <c r="P319" s="105">
        <f>IF(OR($O319='Auto Responses'!$J$5,$L319='Auto Responses'!$J$5),'Auto Responses'!$J$5,$O319*$L319)</f>
        <v>10</v>
      </c>
      <c r="Q319" s="105">
        <f t="shared" si="39"/>
        <v>0</v>
      </c>
      <c r="R319" s="105">
        <f t="shared" si="37"/>
        <v>0</v>
      </c>
      <c r="S319" s="105">
        <f t="shared" si="40"/>
        <v>0</v>
      </c>
      <c r="T319" s="105">
        <f t="shared" si="41"/>
        <v>0</v>
      </c>
      <c r="U319" s="105">
        <f t="shared" si="38"/>
        <v>81</v>
      </c>
      <c r="V319" s="105">
        <f t="shared" si="42"/>
        <v>0</v>
      </c>
    </row>
    <row r="320" spans="1:22" ht="56" x14ac:dyDescent="0.3">
      <c r="A320" s="4" t="str">
        <f>Questions!$A320</f>
        <v>AIML-01</v>
      </c>
      <c r="B320" s="4" t="str">
        <f t="shared" si="43"/>
        <v>AIML</v>
      </c>
      <c r="C320" s="4" t="str">
        <f>VLOOKUP($A320,Questions!$A$3:$L$333,2,0)&amp;""</f>
        <v>Do you separate ML training data from your ML solution data?*</v>
      </c>
      <c r="D320" s="4" t="str">
        <f>VLOOKUP($A320,Questions!$A$3:$L$333,11,0)&amp;""</f>
        <v/>
      </c>
      <c r="E320" s="4" t="str">
        <f>VLOOKUP($A320,Questions!$A$3:$L$333,12,0)&amp;""</f>
        <v>AI</v>
      </c>
      <c r="F320" s="4" t="str">
        <f>VLOOKUP($A320,'Institution Evaluation'!$A$56:$K$345,3,0)&amp;""</f>
        <v>No</v>
      </c>
      <c r="G320" s="4" t="str">
        <f>VLOOKUP($A320,'Institution Evaluation'!$A$56:$K$345,7,0)&amp;""</f>
        <v>Yes</v>
      </c>
      <c r="H320" s="4" t="str">
        <f>VLOOKUP($A320,'Institution Evaluation'!$A$56:$K$345,8,0)&amp;""</f>
        <v/>
      </c>
      <c r="I320" s="4" t="str">
        <f>VLOOKUP($A320,'Institution Evaluation'!$A$56:$K$345,9,0)&amp;""</f>
        <v>Critical Importance</v>
      </c>
      <c r="J320" s="4" t="str">
        <f>VLOOKUP($A320,'Institution Evaluation'!$A$56:$K$345,10,0)&amp;""</f>
        <v/>
      </c>
      <c r="K320" s="4">
        <f>IF($I320='Auto Responses'!$J$11,20,IF($I320='Auto Responses'!$J$13,5,10))</f>
        <v>20</v>
      </c>
      <c r="L320" s="105">
        <f>IF($E320='Auto Responses'!$L$13, 'Auto Responses'!$J$5,IF(AND($D320='Auto Responses'!$J$27,$H320=""),'Auto Responses'!$J$5,IF(AND($D320='Auto Responses'!$J$27,$H320='Auto Responses'!$J$7),1,IF(AND($D320='Auto Responses'!$J$27,$H320='Auto Responses'!$J$8),0,IF(OR(AND($F320=$G320,$H320=""),$H320='Auto Responses'!$J$7),1,0)))))</f>
        <v>0</v>
      </c>
      <c r="M320" s="4" t="str">
        <f>VLOOKUP($A320,'Institution Evaluation'!$A$56:$K$345,11,0)&amp;""</f>
        <v>FALSE</v>
      </c>
      <c r="N320" s="4">
        <f>IF($J320='Auto Responses'!$J$11,1,IF(AND($J320="",$I320='Auto Responses'!$J$11),1,0))</f>
        <v>1</v>
      </c>
      <c r="O320" s="105">
        <f>IF(OR($F$20='Auto Responses'!$J$4,$F$303='Auto Responses'!$J$4,$E320='Auto Responses'!$L$13,$F320='Auto Responses'!$J$5),'Auto Responses'!$J$5,IF($J320="",$K320,IF($J320='Auto Responses'!$J$13,5,IF($J320='Auto Responses'!$J$12,10,IF($J320='Auto Responses'!$J$11,20,0)))))</f>
        <v>20</v>
      </c>
      <c r="P320" s="105">
        <f>IF(OR($O320='Auto Responses'!$J$5,$L320='Auto Responses'!$J$5),'Auto Responses'!$J$5,$O320*$L320)</f>
        <v>0</v>
      </c>
      <c r="Q320" s="105">
        <f t="shared" si="39"/>
        <v>0</v>
      </c>
      <c r="R320" s="105">
        <f t="shared" si="37"/>
        <v>0</v>
      </c>
      <c r="S320" s="105">
        <f t="shared" si="40"/>
        <v>0</v>
      </c>
      <c r="T320" s="105">
        <f t="shared" si="41"/>
        <v>1</v>
      </c>
      <c r="U320" s="105">
        <f t="shared" si="38"/>
        <v>82</v>
      </c>
      <c r="V320" s="105">
        <f t="shared" si="42"/>
        <v>82</v>
      </c>
    </row>
    <row r="321" spans="1:23" ht="56" x14ac:dyDescent="0.3">
      <c r="A321" s="4" t="str">
        <f>Questions!$A321</f>
        <v>AIML-02</v>
      </c>
      <c r="B321" s="4" t="str">
        <f t="shared" si="43"/>
        <v>AIML</v>
      </c>
      <c r="C321" s="4" t="str">
        <f>VLOOKUP($A321,Questions!$A$3:$L$333,2,0)&amp;""</f>
        <v>Do you authenticate and verify your ML model's feedback?*</v>
      </c>
      <c r="D321" s="4" t="str">
        <f>VLOOKUP($A321,Questions!$A$3:$L$333,11,0)&amp;""</f>
        <v/>
      </c>
      <c r="E321" s="4" t="str">
        <f>VLOOKUP($A321,Questions!$A$3:$L$333,12,0)&amp;""</f>
        <v>AI</v>
      </c>
      <c r="F321" s="4" t="str">
        <f>VLOOKUP($A321,'Institution Evaluation'!$A$56:$K$345,3,0)&amp;""</f>
        <v>Yes</v>
      </c>
      <c r="G321" s="4" t="str">
        <f>VLOOKUP($A321,'Institution Evaluation'!$A$56:$K$345,7,0)&amp;""</f>
        <v>Yes</v>
      </c>
      <c r="H321" s="4" t="str">
        <f>VLOOKUP($A321,'Institution Evaluation'!$A$56:$K$345,8,0)&amp;""</f>
        <v/>
      </c>
      <c r="I321" s="4" t="str">
        <f>VLOOKUP($A321,'Institution Evaluation'!$A$56:$K$345,9,0)&amp;""</f>
        <v>Critical Importance</v>
      </c>
      <c r="J321" s="4" t="str">
        <f>VLOOKUP($A321,'Institution Evaluation'!$A$56:$K$345,10,0)&amp;""</f>
        <v/>
      </c>
      <c r="K321" s="4">
        <f>IF($I321='Auto Responses'!$J$11,20,IF($I321='Auto Responses'!$J$13,5,10))</f>
        <v>20</v>
      </c>
      <c r="L321" s="105">
        <f>IF($E321='Auto Responses'!$L$13, 'Auto Responses'!$J$5,IF(AND($D321='Auto Responses'!$J$27,$H321=""),'Auto Responses'!$J$5,IF(AND($D321='Auto Responses'!$J$27,$H321='Auto Responses'!$J$7),1,IF(AND($D321='Auto Responses'!$J$27,$H321='Auto Responses'!$J$8),0,IF(OR(AND($F321=$G321,$H321=""),$H321='Auto Responses'!$J$7),1,0)))))</f>
        <v>1</v>
      </c>
      <c r="M321" s="4" t="str">
        <f>VLOOKUP($A321,'Institution Evaluation'!$A$56:$K$345,11,0)&amp;""</f>
        <v>FALSE</v>
      </c>
      <c r="N321" s="4">
        <f>IF($J321='Auto Responses'!$J$11,1,IF(AND($J321="",$I321='Auto Responses'!$J$11),1,0))</f>
        <v>1</v>
      </c>
      <c r="O321" s="105">
        <f>IF(OR($F$20='Auto Responses'!$J$4,$F$303='Auto Responses'!$J$4,$E321='Auto Responses'!$L$13,$F321='Auto Responses'!$J$5),'Auto Responses'!$J$5,IF($J321="",$K321,IF($J321='Auto Responses'!$J$13,5,IF($J321='Auto Responses'!$J$12,10,IF($J321='Auto Responses'!$J$11,20,0)))))</f>
        <v>20</v>
      </c>
      <c r="P321" s="105">
        <f>IF(OR($O321='Auto Responses'!$J$5,$L321='Auto Responses'!$J$5),'Auto Responses'!$J$5,$O321*$L321)</f>
        <v>20</v>
      </c>
      <c r="Q321" s="105">
        <f t="shared" si="39"/>
        <v>0</v>
      </c>
      <c r="R321" s="105">
        <f t="shared" si="37"/>
        <v>0</v>
      </c>
      <c r="S321" s="105">
        <f t="shared" si="40"/>
        <v>0</v>
      </c>
      <c r="T321" s="105">
        <f t="shared" si="41"/>
        <v>1</v>
      </c>
      <c r="U321" s="105">
        <f t="shared" si="38"/>
        <v>83</v>
      </c>
      <c r="V321" s="105">
        <f t="shared" si="42"/>
        <v>83</v>
      </c>
    </row>
    <row r="322" spans="1:23" ht="56" x14ac:dyDescent="0.3">
      <c r="A322" s="4" t="str">
        <f>Questions!$A322</f>
        <v>AIML-03</v>
      </c>
      <c r="B322" s="4" t="str">
        <f t="shared" si="43"/>
        <v>AIML</v>
      </c>
      <c r="C322" s="4" t="str">
        <f>VLOOKUP($A322,Questions!$A$3:$L$333,2,0)&amp;""</f>
        <v>Is your ML training data vetted, validated, and verified before training the solution's AI model?</v>
      </c>
      <c r="D322" s="4" t="str">
        <f>VLOOKUP($A322,Questions!$A$3:$L$333,11,0)&amp;""</f>
        <v/>
      </c>
      <c r="E322" s="4" t="str">
        <f>VLOOKUP($A322,Questions!$A$3:$L$333,12,0)&amp;""</f>
        <v>AI</v>
      </c>
      <c r="F322" s="4" t="str">
        <f>VLOOKUP($A322,'Institution Evaluation'!$A$56:$K$345,3,0)&amp;""</f>
        <v>No</v>
      </c>
      <c r="G322" s="4" t="str">
        <f>VLOOKUP($A322,'Institution Evaluation'!$A$56:$K$345,7,0)&amp;""</f>
        <v>Yes</v>
      </c>
      <c r="H322" s="4" t="str">
        <f>VLOOKUP($A322,'Institution Evaluation'!$A$56:$K$345,8,0)&amp;""</f>
        <v/>
      </c>
      <c r="I322" s="4" t="str">
        <f>VLOOKUP($A322,'Institution Evaluation'!$A$56:$K$345,9,0)&amp;""</f>
        <v>Standard Importance</v>
      </c>
      <c r="J322" s="4" t="str">
        <f>VLOOKUP($A322,'Institution Evaluation'!$A$56:$K$345,10,0)&amp;""</f>
        <v/>
      </c>
      <c r="K322" s="4">
        <f>IF($I322='Auto Responses'!$J$11,20,IF($I322='Auto Responses'!$J$13,5,10))</f>
        <v>10</v>
      </c>
      <c r="L322" s="105">
        <f>IF($E322='Auto Responses'!$L$13, 'Auto Responses'!$J$5,IF(AND($D322='Auto Responses'!$J$27,$H322=""),'Auto Responses'!$J$5,IF(AND($D322='Auto Responses'!$J$27,$H322='Auto Responses'!$J$7),1,IF(AND($D322='Auto Responses'!$J$27,$H322='Auto Responses'!$J$8),0,IF(OR(AND($F322=$G322,$H322=""),$H322='Auto Responses'!$J$7),1,0)))))</f>
        <v>0</v>
      </c>
      <c r="M322" s="4" t="str">
        <f>VLOOKUP($A322,'Institution Evaluation'!$A$56:$K$345,11,0)&amp;""</f>
        <v>FALSE</v>
      </c>
      <c r="N322" s="4">
        <f>IF($J322='Auto Responses'!$J$11,1,IF(AND($J322="",$I322='Auto Responses'!$J$11),1,0))</f>
        <v>0</v>
      </c>
      <c r="O322" s="105">
        <f>IF(OR($F$20='Auto Responses'!$J$4,$F$303='Auto Responses'!$J$4,$E322='Auto Responses'!$L$13,$F322='Auto Responses'!$J$5),'Auto Responses'!$J$5,IF($J322="",$K322,IF($J322='Auto Responses'!$J$13,5,IF($J322='Auto Responses'!$J$12,10,IF($J322='Auto Responses'!$J$11,20,0)))))</f>
        <v>10</v>
      </c>
      <c r="P322" s="105">
        <f>IF(OR($O322='Auto Responses'!$J$5,$L322='Auto Responses'!$J$5),'Auto Responses'!$J$5,$O322*$L322)</f>
        <v>0</v>
      </c>
      <c r="Q322" s="105">
        <f t="shared" si="39"/>
        <v>0</v>
      </c>
      <c r="R322" s="105">
        <f t="shared" si="37"/>
        <v>0</v>
      </c>
      <c r="S322" s="105">
        <f t="shared" si="40"/>
        <v>0</v>
      </c>
      <c r="T322" s="105">
        <f t="shared" si="41"/>
        <v>0</v>
      </c>
      <c r="U322" s="105">
        <f t="shared" si="38"/>
        <v>83</v>
      </c>
      <c r="V322" s="105">
        <f t="shared" si="42"/>
        <v>0</v>
      </c>
    </row>
    <row r="323" spans="1:23" ht="56" x14ac:dyDescent="0.3">
      <c r="A323" s="4" t="str">
        <f>Questions!$A323</f>
        <v>AIML-04</v>
      </c>
      <c r="B323" s="4" t="str">
        <f t="shared" si="43"/>
        <v>AIML</v>
      </c>
      <c r="C323" s="4" t="str">
        <f>VLOOKUP($A323,Questions!$A$3:$L$333,2,0)&amp;""</f>
        <v>Is your ML training data monitored and audited?</v>
      </c>
      <c r="D323" s="4" t="str">
        <f>VLOOKUP($A323,Questions!$A$3:$L$333,11,0)&amp;""</f>
        <v/>
      </c>
      <c r="E323" s="4" t="str">
        <f>VLOOKUP($A323,Questions!$A$3:$L$333,12,0)&amp;""</f>
        <v>AI</v>
      </c>
      <c r="F323" s="4" t="str">
        <f>VLOOKUP($A323,'Institution Evaluation'!$A$56:$K$345,3,0)&amp;""</f>
        <v>No</v>
      </c>
      <c r="G323" s="4" t="str">
        <f>VLOOKUP($A323,'Institution Evaluation'!$A$56:$K$345,7,0)&amp;""</f>
        <v>Yes</v>
      </c>
      <c r="H323" s="4" t="str">
        <f>VLOOKUP($A323,'Institution Evaluation'!$A$56:$K$345,8,0)&amp;""</f>
        <v/>
      </c>
      <c r="I323" s="4" t="str">
        <f>VLOOKUP($A323,'Institution Evaluation'!$A$56:$K$345,9,0)&amp;""</f>
        <v>Standard Importance</v>
      </c>
      <c r="J323" s="4" t="str">
        <f>VLOOKUP($A323,'Institution Evaluation'!$A$56:$K$345,10,0)&amp;""</f>
        <v/>
      </c>
      <c r="K323" s="4">
        <f>IF($I323='Auto Responses'!$J$11,20,IF($I323='Auto Responses'!$J$13,5,10))</f>
        <v>10</v>
      </c>
      <c r="L323" s="105">
        <f>IF($E323='Auto Responses'!$L$13, 'Auto Responses'!$J$5,IF(AND($D323='Auto Responses'!$J$27,$H323=""),'Auto Responses'!$J$5,IF(AND($D323='Auto Responses'!$J$27,$H323='Auto Responses'!$J$7),1,IF(AND($D323='Auto Responses'!$J$27,$H323='Auto Responses'!$J$8),0,IF(OR(AND($F323=$G323,$H323=""),$H323='Auto Responses'!$J$7),1,0)))))</f>
        <v>0</v>
      </c>
      <c r="M323" s="4" t="str">
        <f>VLOOKUP($A323,'Institution Evaluation'!$A$56:$K$345,11,0)&amp;""</f>
        <v>FALSE</v>
      </c>
      <c r="N323" s="4">
        <f>IF($J323='Auto Responses'!$J$11,1,IF(AND($J323="",$I323='Auto Responses'!$J$11),1,0))</f>
        <v>0</v>
      </c>
      <c r="O323" s="105">
        <f>IF(OR($F$20='Auto Responses'!$J$4,$F$303='Auto Responses'!$J$4,$E323='Auto Responses'!$L$13,$F323='Auto Responses'!$J$5),'Auto Responses'!$J$5,IF($J323="",$K323,IF($J323='Auto Responses'!$J$13,5,IF($J323='Auto Responses'!$J$12,10,IF($J323='Auto Responses'!$J$11,20,0)))))</f>
        <v>10</v>
      </c>
      <c r="P323" s="105">
        <f>IF(OR($O323='Auto Responses'!$J$5,$L323='Auto Responses'!$J$5),'Auto Responses'!$J$5,$O323*$L323)</f>
        <v>0</v>
      </c>
      <c r="Q323" s="105">
        <f t="shared" si="39"/>
        <v>0</v>
      </c>
      <c r="R323" s="105">
        <f t="shared" si="37"/>
        <v>0</v>
      </c>
      <c r="S323" s="105">
        <f t="shared" si="40"/>
        <v>0</v>
      </c>
      <c r="T323" s="105">
        <f t="shared" si="41"/>
        <v>0</v>
      </c>
      <c r="U323" s="105">
        <f t="shared" si="38"/>
        <v>83</v>
      </c>
      <c r="V323" s="105">
        <f t="shared" si="42"/>
        <v>0</v>
      </c>
    </row>
    <row r="324" spans="1:23" ht="56" x14ac:dyDescent="0.3">
      <c r="A324" s="4" t="str">
        <f>Questions!$A324</f>
        <v>AIML-05</v>
      </c>
      <c r="B324" s="4" t="str">
        <f t="shared" si="43"/>
        <v>AIML</v>
      </c>
      <c r="C324" s="4" t="str">
        <f>VLOOKUP($A324,Questions!$A$3:$L$333,2,0)&amp;""</f>
        <v>Have you limited access to your ML training data to only staff with an explicit business need?</v>
      </c>
      <c r="D324" s="4" t="str">
        <f>VLOOKUP($A324,Questions!$A$3:$L$333,11,0)&amp;""</f>
        <v/>
      </c>
      <c r="E324" s="4" t="str">
        <f>VLOOKUP($A324,Questions!$A$3:$L$333,12,0)&amp;""</f>
        <v>AI</v>
      </c>
      <c r="F324" s="4" t="str">
        <f>VLOOKUP($A324,'Institution Evaluation'!$A$56:$K$345,3,0)&amp;""</f>
        <v>No</v>
      </c>
      <c r="G324" s="4" t="str">
        <f>VLOOKUP($A324,'Institution Evaluation'!$A$56:$K$345,7,0)&amp;""</f>
        <v>Yes</v>
      </c>
      <c r="H324" s="4" t="str">
        <f>VLOOKUP($A324,'Institution Evaluation'!$A$56:$K$345,8,0)&amp;""</f>
        <v/>
      </c>
      <c r="I324" s="4" t="str">
        <f>VLOOKUP($A324,'Institution Evaluation'!$A$56:$K$345,9,0)&amp;""</f>
        <v>Minor Importance</v>
      </c>
      <c r="J324" s="4" t="str">
        <f>VLOOKUP($A324,'Institution Evaluation'!$A$56:$K$345,10,0)&amp;""</f>
        <v/>
      </c>
      <c r="K324" s="4">
        <f>IF($I324='Auto Responses'!$J$11,20,IF($I324='Auto Responses'!$J$13,5,10))</f>
        <v>5</v>
      </c>
      <c r="L324" s="105">
        <f>IF($E324='Auto Responses'!$L$13, 'Auto Responses'!$J$5,IF(AND($D324='Auto Responses'!$J$27,$H324=""),'Auto Responses'!$J$5,IF(AND($D324='Auto Responses'!$J$27,$H324='Auto Responses'!$J$7),1,IF(AND($D324='Auto Responses'!$J$27,$H324='Auto Responses'!$J$8),0,IF(OR(AND($F324=$G324,$H324=""),$H324='Auto Responses'!$J$7),1,0)))))</f>
        <v>0</v>
      </c>
      <c r="M324" s="4" t="str">
        <f>VLOOKUP($A324,'Institution Evaluation'!$A$56:$K$345,11,0)&amp;""</f>
        <v>FALSE</v>
      </c>
      <c r="N324" s="4">
        <f>IF($J324='Auto Responses'!$J$11,1,IF(AND($J324="",$I324='Auto Responses'!$J$11),1,0))</f>
        <v>0</v>
      </c>
      <c r="O324" s="105">
        <f>IF(OR($F$20='Auto Responses'!$J$4,$F$303='Auto Responses'!$J$4,$E324='Auto Responses'!$L$13,$F324='Auto Responses'!$J$5),'Auto Responses'!$J$5,IF($J324="",$K324,IF($J324='Auto Responses'!$J$13,5,IF($J324='Auto Responses'!$J$12,10,IF($J324='Auto Responses'!$J$11,20,0)))))</f>
        <v>5</v>
      </c>
      <c r="P324" s="105">
        <f>IF(OR($O324='Auto Responses'!$J$5,$L324='Auto Responses'!$J$5),'Auto Responses'!$J$5,$O324*$L324)</f>
        <v>0</v>
      </c>
      <c r="Q324" s="105">
        <f t="shared" si="39"/>
        <v>0</v>
      </c>
      <c r="R324" s="105">
        <f t="shared" si="37"/>
        <v>0</v>
      </c>
      <c r="S324" s="105">
        <f t="shared" si="40"/>
        <v>0</v>
      </c>
      <c r="T324" s="105">
        <f t="shared" si="41"/>
        <v>0</v>
      </c>
      <c r="U324" s="105">
        <f t="shared" si="38"/>
        <v>83</v>
      </c>
      <c r="V324" s="105">
        <f t="shared" si="42"/>
        <v>0</v>
      </c>
    </row>
    <row r="325" spans="1:23" ht="56" x14ac:dyDescent="0.3">
      <c r="A325" s="4" t="str">
        <f>Questions!$A325</f>
        <v>AIML-06</v>
      </c>
      <c r="B325" s="4" t="str">
        <f t="shared" si="43"/>
        <v>AIML</v>
      </c>
      <c r="C325" s="4" t="str">
        <f>VLOOKUP($A325,Questions!$A$3:$L$333,2,0)&amp;""</f>
        <v>Have you implemented adversarial training or other model defense mechanisms to protect your ML-related features?</v>
      </c>
      <c r="D325" s="4" t="str">
        <f>VLOOKUP($A325,Questions!$A$3:$L$333,11,0)&amp;""</f>
        <v/>
      </c>
      <c r="E325" s="4" t="str">
        <f>VLOOKUP($A325,Questions!$A$3:$L$333,12,0)&amp;""</f>
        <v>AI</v>
      </c>
      <c r="F325" s="4" t="str">
        <f>VLOOKUP($A325,'Institution Evaluation'!$A$56:$K$345,3,0)&amp;""</f>
        <v>No</v>
      </c>
      <c r="G325" s="4" t="str">
        <f>VLOOKUP($A325,'Institution Evaluation'!$A$56:$K$345,7,0)&amp;""</f>
        <v>Yes</v>
      </c>
      <c r="H325" s="4" t="str">
        <f>VLOOKUP($A325,'Institution Evaluation'!$A$56:$K$345,8,0)&amp;""</f>
        <v/>
      </c>
      <c r="I325" s="4" t="str">
        <f>VLOOKUP($A325,'Institution Evaluation'!$A$56:$K$345,9,0)&amp;""</f>
        <v>Minor Importance</v>
      </c>
      <c r="J325" s="4" t="str">
        <f>VLOOKUP($A325,'Institution Evaluation'!$A$56:$K$345,10,0)&amp;""</f>
        <v/>
      </c>
      <c r="K325" s="4">
        <f>IF($I325='Auto Responses'!$J$11,20,IF($I325='Auto Responses'!$J$13,5,10))</f>
        <v>5</v>
      </c>
      <c r="L325" s="105">
        <f>IF($E325='Auto Responses'!$L$13, 'Auto Responses'!$J$5,IF(AND($D325='Auto Responses'!$J$27,$H325=""),'Auto Responses'!$J$5,IF(AND($D325='Auto Responses'!$J$27,$H325='Auto Responses'!$J$7),1,IF(AND($D325='Auto Responses'!$J$27,$H325='Auto Responses'!$J$8),0,IF(OR(AND($F325=$G325,$H325=""),$H325='Auto Responses'!$J$7),1,0)))))</f>
        <v>0</v>
      </c>
      <c r="M325" s="4" t="str">
        <f>VLOOKUP($A325,'Institution Evaluation'!$A$56:$K$345,11,0)&amp;""</f>
        <v>FALSE</v>
      </c>
      <c r="N325" s="4">
        <f>IF($J325='Auto Responses'!$J$11,1,IF(AND($J325="",$I325='Auto Responses'!$J$11),1,0))</f>
        <v>0</v>
      </c>
      <c r="O325" s="105">
        <f>IF(OR($F$20='Auto Responses'!$J$4,$F$303='Auto Responses'!$J$4,$E325='Auto Responses'!$L$13,$F325='Auto Responses'!$J$5),'Auto Responses'!$J$5,IF($J325="",$K325,IF($J325='Auto Responses'!$J$13,5,IF($J325='Auto Responses'!$J$12,10,IF($J325='Auto Responses'!$J$11,20,0)))))</f>
        <v>5</v>
      </c>
      <c r="P325" s="105">
        <f>IF(OR($O325='Auto Responses'!$J$5,$L325='Auto Responses'!$J$5),'Auto Responses'!$J$5,$O325*$L325)</f>
        <v>0</v>
      </c>
      <c r="Q325" s="105">
        <f t="shared" si="39"/>
        <v>0</v>
      </c>
      <c r="R325" s="105">
        <f t="shared" ref="R325:R333" si="44">R324+Q325</f>
        <v>0</v>
      </c>
      <c r="S325" s="105">
        <f t="shared" si="40"/>
        <v>0</v>
      </c>
      <c r="T325" s="105">
        <f t="shared" si="41"/>
        <v>0</v>
      </c>
      <c r="U325" s="105">
        <f t="shared" ref="U325:U333" si="45">U324+T325</f>
        <v>83</v>
      </c>
      <c r="V325" s="105">
        <f t="shared" si="42"/>
        <v>0</v>
      </c>
    </row>
    <row r="326" spans="1:23" ht="56" x14ac:dyDescent="0.3">
      <c r="A326" s="4" t="str">
        <f>Questions!$A326</f>
        <v>AIML-07</v>
      </c>
      <c r="B326" s="4" t="str">
        <f t="shared" si="43"/>
        <v>AIML</v>
      </c>
      <c r="C326" s="4" t="str">
        <f>VLOOKUP($A326,Questions!$A$3:$L$333,2,0)&amp;""</f>
        <v>Do you make your ML model transparent through documentation and log inputs and outputs?</v>
      </c>
      <c r="D326" s="4" t="str">
        <f>VLOOKUP($A326,Questions!$A$3:$L$333,11,0)&amp;""</f>
        <v/>
      </c>
      <c r="E326" s="4" t="str">
        <f>VLOOKUP($A326,Questions!$A$3:$L$333,12,0)&amp;""</f>
        <v>AI</v>
      </c>
      <c r="F326" s="4" t="str">
        <f>VLOOKUP($A326,'Institution Evaluation'!$A$56:$K$345,3,0)&amp;""</f>
        <v>No</v>
      </c>
      <c r="G326" s="4" t="str">
        <f>VLOOKUP($A326,'Institution Evaluation'!$A$56:$K$345,7,0)&amp;""</f>
        <v>Yes</v>
      </c>
      <c r="H326" s="4" t="str">
        <f>VLOOKUP($A326,'Institution Evaluation'!$A$56:$K$345,8,0)&amp;""</f>
        <v/>
      </c>
      <c r="I326" s="4" t="str">
        <f>VLOOKUP($A326,'Institution Evaluation'!$A$56:$K$345,9,0)&amp;""</f>
        <v>Minor Importance</v>
      </c>
      <c r="J326" s="4" t="str">
        <f>VLOOKUP($A326,'Institution Evaluation'!$A$56:$K$345,10,0)&amp;""</f>
        <v/>
      </c>
      <c r="K326" s="4">
        <f>IF($I326='Auto Responses'!$J$11,20,IF($I326='Auto Responses'!$J$13,5,10))</f>
        <v>5</v>
      </c>
      <c r="L326" s="105">
        <f>IF($E326='Auto Responses'!$L$13, 'Auto Responses'!$J$5,IF(AND($D326='Auto Responses'!$J$27,$H326=""),'Auto Responses'!$J$5,IF(AND($D326='Auto Responses'!$J$27,$H326='Auto Responses'!$J$7),1,IF(AND($D326='Auto Responses'!$J$27,$H326='Auto Responses'!$J$8),0,IF(OR(AND($F326=$G326,$H326=""),$H326='Auto Responses'!$J$7),1,0)))))</f>
        <v>0</v>
      </c>
      <c r="M326" s="4" t="str">
        <f>VLOOKUP($A326,'Institution Evaluation'!$A$56:$K$345,11,0)&amp;""</f>
        <v>FALSE</v>
      </c>
      <c r="N326" s="4">
        <f>IF($J326='Auto Responses'!$J$11,1,IF(AND($J326="",$I326='Auto Responses'!$J$11),1,0))</f>
        <v>0</v>
      </c>
      <c r="O326" s="105">
        <f>IF(OR($F$20='Auto Responses'!$J$4,$F$303='Auto Responses'!$J$4,$E326='Auto Responses'!$L$13,$F326='Auto Responses'!$J$5),'Auto Responses'!$J$5,IF($J326="",$K326,IF($J326='Auto Responses'!$J$13,5,IF($J326='Auto Responses'!$J$12,10,IF($J326='Auto Responses'!$J$11,20,0)))))</f>
        <v>5</v>
      </c>
      <c r="P326" s="105">
        <f>IF(OR($O326='Auto Responses'!$J$5,$L326='Auto Responses'!$J$5),'Auto Responses'!$J$5,$O326*$L326)</f>
        <v>0</v>
      </c>
      <c r="Q326" s="105">
        <f t="shared" si="39"/>
        <v>0</v>
      </c>
      <c r="R326" s="105">
        <f t="shared" si="44"/>
        <v>0</v>
      </c>
      <c r="S326" s="105">
        <f t="shared" si="40"/>
        <v>0</v>
      </c>
      <c r="T326" s="105">
        <f t="shared" si="41"/>
        <v>0</v>
      </c>
      <c r="U326" s="105">
        <f t="shared" si="45"/>
        <v>83</v>
      </c>
      <c r="V326" s="105">
        <f t="shared" si="42"/>
        <v>0</v>
      </c>
    </row>
    <row r="327" spans="1:23" ht="56" x14ac:dyDescent="0.3">
      <c r="A327" s="4" t="str">
        <f>Questions!$A327</f>
        <v>AIML-08</v>
      </c>
      <c r="B327" s="4" t="str">
        <f t="shared" si="43"/>
        <v>AIML</v>
      </c>
      <c r="C327" s="4" t="str">
        <f>VLOOKUP($A327,Questions!$A$3:$L$333,2,0)&amp;""</f>
        <v>Do you watermark your ML training data?</v>
      </c>
      <c r="D327" s="4" t="str">
        <f>VLOOKUP($A327,Questions!$A$3:$L$333,11,0)&amp;""</f>
        <v/>
      </c>
      <c r="E327" s="4" t="str">
        <f>VLOOKUP($A327,Questions!$A$3:$L$333,12,0)&amp;""</f>
        <v>AI</v>
      </c>
      <c r="F327" s="4" t="str">
        <f>VLOOKUP($A327,'Institution Evaluation'!$A$56:$K$345,3,0)&amp;""</f>
        <v>No</v>
      </c>
      <c r="G327" s="4" t="str">
        <f>VLOOKUP($A327,'Institution Evaluation'!$A$56:$K$345,7,0)&amp;""</f>
        <v>Yes</v>
      </c>
      <c r="H327" s="4" t="str">
        <f>VLOOKUP($A327,'Institution Evaluation'!$A$56:$K$345,8,0)&amp;""</f>
        <v/>
      </c>
      <c r="I327" s="4" t="str">
        <f>VLOOKUP($A327,'Institution Evaluation'!$A$56:$K$345,9,0)&amp;""</f>
        <v>Minor Importance</v>
      </c>
      <c r="J327" s="4" t="str">
        <f>VLOOKUP($A327,'Institution Evaluation'!$A$56:$K$345,10,0)&amp;""</f>
        <v/>
      </c>
      <c r="K327" s="4">
        <f>IF($I327='Auto Responses'!$J$11,20,IF($I327='Auto Responses'!$J$13,5,10))</f>
        <v>5</v>
      </c>
      <c r="L327" s="105">
        <f>IF($E327='Auto Responses'!$L$13, 'Auto Responses'!$J$5,IF(AND($D327='Auto Responses'!$J$27,$H327=""),'Auto Responses'!$J$5,IF(AND($D327='Auto Responses'!$J$27,$H327='Auto Responses'!$J$7),1,IF(AND($D327='Auto Responses'!$J$27,$H327='Auto Responses'!$J$8),0,IF(OR(AND($F327=$G327,$H327=""),$H327='Auto Responses'!$J$7),1,0)))))</f>
        <v>0</v>
      </c>
      <c r="M327" s="4" t="str">
        <f>VLOOKUP($A327,'Institution Evaluation'!$A$56:$K$345,11,0)&amp;""</f>
        <v>FALSE</v>
      </c>
      <c r="N327" s="4">
        <f>IF($J327='Auto Responses'!$J$11,1,IF(AND($J327="",$I327='Auto Responses'!$J$11),1,0))</f>
        <v>0</v>
      </c>
      <c r="O327" s="105">
        <f>IF(OR($F$20='Auto Responses'!$J$4,$F$303='Auto Responses'!$J$4,$E327='Auto Responses'!$L$13,$F327='Auto Responses'!$J$5),'Auto Responses'!$J$5,IF($J327="",$K327,IF($J327='Auto Responses'!$J$13,5,IF($J327='Auto Responses'!$J$12,10,IF($J327='Auto Responses'!$J$11,20,0)))))</f>
        <v>5</v>
      </c>
      <c r="P327" s="105">
        <f>IF(OR($O327='Auto Responses'!$J$5,$L327='Auto Responses'!$J$5),'Auto Responses'!$J$5,$O327*$L327)</f>
        <v>0</v>
      </c>
      <c r="Q327" s="105">
        <f t="shared" si="39"/>
        <v>0</v>
      </c>
      <c r="R327" s="105">
        <f t="shared" si="44"/>
        <v>0</v>
      </c>
      <c r="S327" s="105">
        <f t="shared" si="40"/>
        <v>0</v>
      </c>
      <c r="T327" s="105">
        <f t="shared" si="41"/>
        <v>0</v>
      </c>
      <c r="U327" s="105">
        <f t="shared" si="45"/>
        <v>83</v>
      </c>
      <c r="V327" s="105">
        <f t="shared" si="42"/>
        <v>0</v>
      </c>
    </row>
    <row r="328" spans="1:23" ht="56" x14ac:dyDescent="0.3">
      <c r="A328" s="4" t="str">
        <f>Questions!$A328</f>
        <v>AILM-01</v>
      </c>
      <c r="B328" s="4" t="str">
        <f t="shared" si="43"/>
        <v>AILM</v>
      </c>
      <c r="C328" s="4" t="str">
        <f>VLOOKUP($A328,Questions!$A$3:$L$333,2,0)&amp;""</f>
        <v>Do you limit your solution's LLM privileges by default?*</v>
      </c>
      <c r="D328" s="4" t="str">
        <f>VLOOKUP($A328,Questions!$A$3:$L$333,11,0)&amp;""</f>
        <v/>
      </c>
      <c r="E328" s="4" t="str">
        <f>VLOOKUP($A328,Questions!$A$3:$L$333,12,0)&amp;""</f>
        <v>AI</v>
      </c>
      <c r="F328" s="4" t="str">
        <f>VLOOKUP($A328,'Institution Evaluation'!$A$56:$K$345,3,0)&amp;""</f>
        <v>No</v>
      </c>
      <c r="G328" s="4" t="str">
        <f>VLOOKUP($A328,'Institution Evaluation'!$A$56:$K$345,7,0)&amp;""</f>
        <v>Yes</v>
      </c>
      <c r="H328" s="4" t="str">
        <f>VLOOKUP($A328,'Institution Evaluation'!$A$56:$K$345,8,0)&amp;""</f>
        <v/>
      </c>
      <c r="I328" s="4" t="str">
        <f>VLOOKUP($A328,'Institution Evaluation'!$A$56:$K$345,9,0)&amp;""</f>
        <v>Critical Importance</v>
      </c>
      <c r="J328" s="4" t="str">
        <f>VLOOKUP($A328,'Institution Evaluation'!$A$56:$K$345,10,0)&amp;""</f>
        <v/>
      </c>
      <c r="K328" s="4">
        <f>IF($I328='Auto Responses'!$J$11,20,IF($I328='Auto Responses'!$J$13,5,10))</f>
        <v>20</v>
      </c>
      <c r="L328" s="105">
        <f>IF($E328='Auto Responses'!$L$13, 'Auto Responses'!$J$5,IF(AND($D328='Auto Responses'!$J$27,$H328=""),'Auto Responses'!$J$5,IF(AND($D328='Auto Responses'!$J$27,$H328='Auto Responses'!$J$7),1,IF(AND($D328='Auto Responses'!$J$27,$H328='Auto Responses'!$J$8),0,IF(OR(AND($F328=$G328,$H328=""),$H328='Auto Responses'!$J$7),1,0)))))</f>
        <v>0</v>
      </c>
      <c r="M328" s="4" t="str">
        <f>VLOOKUP($A328,'Institution Evaluation'!$A$56:$K$345,11,0)&amp;""</f>
        <v>FALSE</v>
      </c>
      <c r="N328" s="4">
        <f>IF($J328='Auto Responses'!$J$11,1,IF(AND($J328="",$I328='Auto Responses'!$J$11),1,0))</f>
        <v>1</v>
      </c>
      <c r="O328" s="105" t="str">
        <f>IF(OR($F$20='Auto Responses'!$J$4,$F$304='Auto Responses'!$J$4,$E328='Auto Responses'!$L$13,$F328='Auto Responses'!$J$5),'Auto Responses'!$J$5,IF($J328="",$K328,IF($J328='Auto Responses'!$J$13,5,IF($J328='Auto Responses'!$J$12,10,IF($J328='Auto Responses'!$J$11,20,0)))))</f>
        <v>N/A</v>
      </c>
      <c r="P328" s="105" t="str">
        <f>IF(OR($O328='Auto Responses'!$J$5,$L328='Auto Responses'!$J$5),'Auto Responses'!$J$5,$O328*$L328)</f>
        <v>N/A</v>
      </c>
      <c r="Q328" s="105">
        <f t="shared" si="39"/>
        <v>0</v>
      </c>
      <c r="R328" s="105">
        <f t="shared" si="44"/>
        <v>0</v>
      </c>
      <c r="S328" s="105">
        <f t="shared" si="40"/>
        <v>0</v>
      </c>
      <c r="T328" s="105">
        <f t="shared" si="41"/>
        <v>1</v>
      </c>
      <c r="U328" s="105">
        <f t="shared" si="45"/>
        <v>84</v>
      </c>
      <c r="V328" s="105">
        <f t="shared" si="42"/>
        <v>84</v>
      </c>
    </row>
    <row r="329" spans="1:23" ht="56" x14ac:dyDescent="0.3">
      <c r="A329" s="4" t="str">
        <f>Questions!$A329</f>
        <v>AILM-02</v>
      </c>
      <c r="B329" s="4" t="str">
        <f t="shared" si="43"/>
        <v>AILM</v>
      </c>
      <c r="C329" s="4" t="str">
        <f>VLOOKUP($A329,Questions!$A$3:$L$333,2,0)&amp;""</f>
        <v>Is your LLM training data vetted, validated, and verified before training the solution's AI model?*</v>
      </c>
      <c r="D329" s="4" t="str">
        <f>VLOOKUP($A329,Questions!$A$3:$L$333,11,0)&amp;""</f>
        <v/>
      </c>
      <c r="E329" s="4" t="str">
        <f>VLOOKUP($A329,Questions!$A$3:$L$333,12,0)&amp;""</f>
        <v>AI</v>
      </c>
      <c r="F329" s="4" t="str">
        <f>VLOOKUP($A329,'Institution Evaluation'!$A$56:$K$345,3,0)&amp;""</f>
        <v>No</v>
      </c>
      <c r="G329" s="4" t="str">
        <f>VLOOKUP($A329,'Institution Evaluation'!$A$56:$K$345,7,0)&amp;""</f>
        <v>Yes</v>
      </c>
      <c r="H329" s="4" t="str">
        <f>VLOOKUP($A329,'Institution Evaluation'!$A$56:$K$345,8,0)&amp;""</f>
        <v/>
      </c>
      <c r="I329" s="4" t="str">
        <f>VLOOKUP($A329,'Institution Evaluation'!$A$56:$K$345,9,0)&amp;""</f>
        <v>Critical Importance</v>
      </c>
      <c r="J329" s="4" t="str">
        <f>VLOOKUP($A329,'Institution Evaluation'!$A$56:$K$345,10,0)&amp;""</f>
        <v/>
      </c>
      <c r="K329" s="4">
        <f>IF($I329='Auto Responses'!$J$11,20,IF($I329='Auto Responses'!$J$13,5,10))</f>
        <v>20</v>
      </c>
      <c r="L329" s="105">
        <f>IF($E329='Auto Responses'!$L$13, 'Auto Responses'!$J$5,IF(AND($D329='Auto Responses'!$J$27,$H329=""),'Auto Responses'!$J$5,IF(AND($D329='Auto Responses'!$J$27,$H329='Auto Responses'!$J$7),1,IF(AND($D329='Auto Responses'!$J$27,$H329='Auto Responses'!$J$8),0,IF(OR(AND($F329=$G329,$H329=""),$H329='Auto Responses'!$J$7),1,0)))))</f>
        <v>0</v>
      </c>
      <c r="M329" s="4" t="str">
        <f>VLOOKUP($A329,'Institution Evaluation'!$A$56:$K$345,11,0)&amp;""</f>
        <v>FALSE</v>
      </c>
      <c r="N329" s="4">
        <f>IF($J329='Auto Responses'!$J$11,1,IF(AND($J329="",$I329='Auto Responses'!$J$11),1,0))</f>
        <v>1</v>
      </c>
      <c r="O329" s="105" t="str">
        <f>IF(OR($F$20='Auto Responses'!$J$4,$F$304='Auto Responses'!$J$4,$E329='Auto Responses'!$L$13,$F329='Auto Responses'!$J$5),'Auto Responses'!$J$5,IF($J329="",$K329,IF($J329='Auto Responses'!$J$13,5,IF($J329='Auto Responses'!$J$12,10,IF($J329='Auto Responses'!$J$11,20,0)))))</f>
        <v>N/A</v>
      </c>
      <c r="P329" s="105" t="str">
        <f>IF(OR($O329='Auto Responses'!$J$5,$L329='Auto Responses'!$J$5),'Auto Responses'!$J$5,$O329*$L329)</f>
        <v>N/A</v>
      </c>
      <c r="Q329" s="105">
        <f t="shared" si="39"/>
        <v>0</v>
      </c>
      <c r="R329" s="105">
        <f t="shared" si="44"/>
        <v>0</v>
      </c>
      <c r="S329" s="105">
        <f t="shared" si="40"/>
        <v>0</v>
      </c>
      <c r="T329" s="105">
        <f t="shared" si="41"/>
        <v>1</v>
      </c>
      <c r="U329" s="105">
        <f t="shared" si="45"/>
        <v>85</v>
      </c>
      <c r="V329" s="105">
        <f t="shared" si="42"/>
        <v>85</v>
      </c>
    </row>
    <row r="330" spans="1:23" ht="56" x14ac:dyDescent="0.3">
      <c r="A330" s="4" t="str">
        <f>Questions!$A330</f>
        <v>AILM-03</v>
      </c>
      <c r="B330" s="4" t="str">
        <f t="shared" si="43"/>
        <v>AILM</v>
      </c>
      <c r="C330" s="4" t="str">
        <f>VLOOKUP($A330,Questions!$A$3:$L$333,2,0)&amp;""</f>
        <v>Do any actions taken by your solution's LLM features or plugins require human intervention?*</v>
      </c>
      <c r="D330" s="4" t="str">
        <f>VLOOKUP($A330,Questions!$A$3:$L$333,11,0)&amp;""</f>
        <v/>
      </c>
      <c r="E330" s="4" t="str">
        <f>VLOOKUP($A330,Questions!$A$3:$L$333,12,0)&amp;""</f>
        <v>AI</v>
      </c>
      <c r="F330" s="4" t="str">
        <f>VLOOKUP($A330,'Institution Evaluation'!$A$56:$K$345,3,0)&amp;""</f>
        <v>No</v>
      </c>
      <c r="G330" s="4" t="str">
        <f>VLOOKUP($A330,'Institution Evaluation'!$A$56:$K$345,7,0)&amp;""</f>
        <v>Yes</v>
      </c>
      <c r="H330" s="4" t="str">
        <f>VLOOKUP($A330,'Institution Evaluation'!$A$56:$K$345,8,0)&amp;""</f>
        <v/>
      </c>
      <c r="I330" s="4" t="str">
        <f>VLOOKUP($A330,'Institution Evaluation'!$A$56:$K$345,9,0)&amp;""</f>
        <v>Critical Importance</v>
      </c>
      <c r="J330" s="4" t="str">
        <f>VLOOKUP($A330,'Institution Evaluation'!$A$56:$K$345,10,0)&amp;""</f>
        <v/>
      </c>
      <c r="K330" s="4">
        <f>IF($I330='Auto Responses'!$J$11,20,IF($I330='Auto Responses'!$J$13,5,10))</f>
        <v>20</v>
      </c>
      <c r="L330" s="105">
        <f>IF($E330='Auto Responses'!$L$13, 'Auto Responses'!$J$5,IF(AND($D330='Auto Responses'!$J$27,$H330=""),'Auto Responses'!$J$5,IF(AND($D330='Auto Responses'!$J$27,$H330='Auto Responses'!$J$7),1,IF(AND($D330='Auto Responses'!$J$27,$H330='Auto Responses'!$J$8),0,IF(OR(AND($F330=$G330,$H330=""),$H330='Auto Responses'!$J$7),1,0)))))</f>
        <v>0</v>
      </c>
      <c r="M330" s="4" t="str">
        <f>VLOOKUP($A330,'Institution Evaluation'!$A$56:$K$345,11,0)&amp;""</f>
        <v>FALSE</v>
      </c>
      <c r="N330" s="4">
        <f>IF($J330='Auto Responses'!$J$11,1,IF(AND($J330="",$I330='Auto Responses'!$J$11),1,0))</f>
        <v>1</v>
      </c>
      <c r="O330" s="105" t="str">
        <f>IF(OR($F$20='Auto Responses'!$J$4,$F$304='Auto Responses'!$J$4,$E330='Auto Responses'!$L$13,$F330='Auto Responses'!$J$5),'Auto Responses'!$J$5,IF($J330="",$K330,IF($J330='Auto Responses'!$J$13,5,IF($J330='Auto Responses'!$J$12,10,IF($J330='Auto Responses'!$J$11,20,0)))))</f>
        <v>N/A</v>
      </c>
      <c r="P330" s="105" t="str">
        <f>IF(OR($O330='Auto Responses'!$J$5,$L330='Auto Responses'!$J$5),'Auto Responses'!$J$5,$O330*$L330)</f>
        <v>N/A</v>
      </c>
      <c r="Q330" s="105">
        <f t="shared" si="39"/>
        <v>0</v>
      </c>
      <c r="R330" s="105">
        <f t="shared" si="44"/>
        <v>0</v>
      </c>
      <c r="S330" s="105">
        <f t="shared" si="40"/>
        <v>0</v>
      </c>
      <c r="T330" s="105">
        <f t="shared" si="41"/>
        <v>1</v>
      </c>
      <c r="U330" s="105">
        <f t="shared" si="45"/>
        <v>86</v>
      </c>
      <c r="V330" s="105">
        <f t="shared" si="42"/>
        <v>86</v>
      </c>
    </row>
    <row r="331" spans="1:23" ht="56" x14ac:dyDescent="0.3">
      <c r="A331" s="4" t="str">
        <f>Questions!$A331</f>
        <v>AILM-04</v>
      </c>
      <c r="B331" s="4" t="str">
        <f t="shared" si="43"/>
        <v>AILM</v>
      </c>
      <c r="C331" s="4" t="str">
        <f>VLOOKUP($A331,Questions!$A$3:$L$333,2,0)&amp;""</f>
        <v>Do you limit multiple LLM model plugins being called as part of a single input?*</v>
      </c>
      <c r="D331" s="4" t="str">
        <f>VLOOKUP($A331,Questions!$A$3:$L$333,11,0)&amp;""</f>
        <v/>
      </c>
      <c r="E331" s="4" t="str">
        <f>VLOOKUP($A331,Questions!$A$3:$L$333,12,0)&amp;""</f>
        <v>AI</v>
      </c>
      <c r="F331" s="4" t="str">
        <f>VLOOKUP($A331,'Institution Evaluation'!$A$56:$K$345,3,0)&amp;""</f>
        <v>No</v>
      </c>
      <c r="G331" s="4" t="str">
        <f>VLOOKUP($A331,'Institution Evaluation'!$A$56:$K$345,7,0)&amp;""</f>
        <v>Yes</v>
      </c>
      <c r="H331" s="4" t="str">
        <f>VLOOKUP($A331,'Institution Evaluation'!$A$56:$K$345,8,0)&amp;""</f>
        <v/>
      </c>
      <c r="I331" s="4" t="str">
        <f>VLOOKUP($A331,'Institution Evaluation'!$A$56:$K$345,9,0)&amp;""</f>
        <v>Critical Importance</v>
      </c>
      <c r="J331" s="4" t="str">
        <f>VLOOKUP($A331,'Institution Evaluation'!$A$56:$K$345,10,0)&amp;""</f>
        <v/>
      </c>
      <c r="K331" s="4">
        <f>IF($I331='Auto Responses'!$J$11,20,IF($I331='Auto Responses'!$J$13,5,10))</f>
        <v>20</v>
      </c>
      <c r="L331" s="105">
        <f>IF($E331='Auto Responses'!$L$13, 'Auto Responses'!$J$5,IF(AND($D331='Auto Responses'!$J$27,$H331=""),'Auto Responses'!$J$5,IF(AND($D331='Auto Responses'!$J$27,$H331='Auto Responses'!$J$7),1,IF(AND($D331='Auto Responses'!$J$27,$H331='Auto Responses'!$J$8),0,IF(OR(AND($F331=$G331,$H331=""),$H331='Auto Responses'!$J$7),1,0)))))</f>
        <v>0</v>
      </c>
      <c r="M331" s="4" t="str">
        <f>VLOOKUP($A331,'Institution Evaluation'!$A$56:$K$345,11,0)&amp;""</f>
        <v>FALSE</v>
      </c>
      <c r="N331" s="4">
        <f>IF($J331='Auto Responses'!$J$11,1,IF(AND($J331="",$I331='Auto Responses'!$J$11),1,0))</f>
        <v>1</v>
      </c>
      <c r="O331" s="105" t="str">
        <f>IF(OR($F$20='Auto Responses'!$J$4,$F$304='Auto Responses'!$J$4,$E331='Auto Responses'!$L$13,$F331='Auto Responses'!$J$5),'Auto Responses'!$J$5,IF($J331="",$K331,IF($J331='Auto Responses'!$J$13,5,IF($J331='Auto Responses'!$J$12,10,IF($J331='Auto Responses'!$J$11,20,0)))))</f>
        <v>N/A</v>
      </c>
      <c r="P331" s="105" t="str">
        <f>IF(OR($O331='Auto Responses'!$J$5,$L331='Auto Responses'!$J$5),'Auto Responses'!$J$5,$O331*$L331)</f>
        <v>N/A</v>
      </c>
      <c r="Q331" s="105">
        <f t="shared" si="39"/>
        <v>0</v>
      </c>
      <c r="R331" s="105">
        <f t="shared" si="44"/>
        <v>0</v>
      </c>
      <c r="S331" s="105">
        <f t="shared" si="40"/>
        <v>0</v>
      </c>
      <c r="T331" s="105">
        <f t="shared" si="41"/>
        <v>1</v>
      </c>
      <c r="U331" s="105">
        <f t="shared" si="45"/>
        <v>87</v>
      </c>
      <c r="V331" s="105">
        <f t="shared" si="42"/>
        <v>87</v>
      </c>
    </row>
    <row r="332" spans="1:23" ht="56" x14ac:dyDescent="0.3">
      <c r="A332" s="4" t="str">
        <f>Questions!$A332</f>
        <v>AILM-05</v>
      </c>
      <c r="B332" s="4" t="str">
        <f t="shared" si="43"/>
        <v>AILM</v>
      </c>
      <c r="C332" s="4" t="str">
        <f>VLOOKUP($A332,Questions!$A$3:$L$333,2,0)&amp;""</f>
        <v>Do you limit your solution's LLM resource use per request, per step, and per action?</v>
      </c>
      <c r="D332" s="4" t="str">
        <f>VLOOKUP($A332,Questions!$A$3:$L$333,11,0)&amp;""</f>
        <v/>
      </c>
      <c r="E332" s="4" t="str">
        <f>VLOOKUP($A332,Questions!$A$3:$L$333,12,0)&amp;""</f>
        <v>AI</v>
      </c>
      <c r="F332" s="4" t="str">
        <f>VLOOKUP($A332,'Institution Evaluation'!$A$56:$K$345,3,0)&amp;""</f>
        <v>No</v>
      </c>
      <c r="G332" s="4" t="str">
        <f>VLOOKUP($A332,'Institution Evaluation'!$A$56:$K$345,7,0)&amp;""</f>
        <v>Yes</v>
      </c>
      <c r="H332" s="4" t="str">
        <f>VLOOKUP($A332,'Institution Evaluation'!$A$56:$K$345,8,0)&amp;""</f>
        <v/>
      </c>
      <c r="I332" s="4" t="str">
        <f>VLOOKUP($A332,'Institution Evaluation'!$A$56:$K$345,9,0)&amp;""</f>
        <v>Standard Importance</v>
      </c>
      <c r="J332" s="4" t="str">
        <f>VLOOKUP($A332,'Institution Evaluation'!$A$56:$K$345,10,0)&amp;""</f>
        <v/>
      </c>
      <c r="K332" s="4">
        <f>IF($I332='Auto Responses'!$J$11,20,IF($I332='Auto Responses'!$J$13,5,10))</f>
        <v>10</v>
      </c>
      <c r="L332" s="105">
        <f>IF($E332='Auto Responses'!$L$13, 'Auto Responses'!$J$5,IF(AND($D332='Auto Responses'!$J$27,$H332=""),'Auto Responses'!$J$5,IF(AND($D332='Auto Responses'!$J$27,$H332='Auto Responses'!$J$7),1,IF(AND($D332='Auto Responses'!$J$27,$H332='Auto Responses'!$J$8),0,IF(OR(AND($F332=$G332,$H332=""),$H332='Auto Responses'!$J$7),1,0)))))</f>
        <v>0</v>
      </c>
      <c r="M332" s="4" t="str">
        <f>VLOOKUP($A332,'Institution Evaluation'!$A$56:$K$345,11,0)&amp;""</f>
        <v>FALSE</v>
      </c>
      <c r="N332" s="4">
        <f>IF($J332='Auto Responses'!$J$11,1,IF(AND($J332="",$I332='Auto Responses'!$J$11),1,0))</f>
        <v>0</v>
      </c>
      <c r="O332" s="105" t="str">
        <f>IF(OR($F$20='Auto Responses'!$J$4,$F$304='Auto Responses'!$J$4,$E332='Auto Responses'!$L$13,$F332='Auto Responses'!$J$5),'Auto Responses'!$J$5,IF($J332="",$K332,IF($J332='Auto Responses'!$J$13,5,IF($J332='Auto Responses'!$J$12,10,IF($J332='Auto Responses'!$J$11,20,0)))))</f>
        <v>N/A</v>
      </c>
      <c r="P332" s="105" t="str">
        <f>IF(OR($O332='Auto Responses'!$J$5,$L332='Auto Responses'!$J$5),'Auto Responses'!$J$5,$O332*$L332)</f>
        <v>N/A</v>
      </c>
      <c r="Q332" s="105">
        <f t="shared" si="39"/>
        <v>0</v>
      </c>
      <c r="R332" s="105">
        <f t="shared" si="44"/>
        <v>0</v>
      </c>
      <c r="S332" s="105">
        <f t="shared" si="40"/>
        <v>0</v>
      </c>
      <c r="T332" s="105">
        <f t="shared" si="41"/>
        <v>0</v>
      </c>
      <c r="U332" s="105">
        <f t="shared" si="45"/>
        <v>87</v>
      </c>
      <c r="V332" s="105">
        <f t="shared" si="42"/>
        <v>0</v>
      </c>
    </row>
    <row r="333" spans="1:23" ht="36" customHeight="1" x14ac:dyDescent="0.3">
      <c r="A333" s="4" t="str">
        <f>Questions!$A333</f>
        <v>AILM-06</v>
      </c>
      <c r="B333" s="4" t="str">
        <f t="shared" si="43"/>
        <v>AILM</v>
      </c>
      <c r="C333" s="4" t="str">
        <f>VLOOKUP($A333,Questions!$A$3:$L$333,2,0)&amp;""</f>
        <v>Do you leverage LLM model tuning or other model validation mechanisms?</v>
      </c>
      <c r="D333" s="4" t="str">
        <f>VLOOKUP($A333,Questions!$A$3:$L$333,11,0)&amp;""</f>
        <v/>
      </c>
      <c r="E333" s="4" t="str">
        <f>VLOOKUP($A333,Questions!$A$3:$L$333,12,0)&amp;""</f>
        <v>AI</v>
      </c>
      <c r="F333" s="4" t="str">
        <f>VLOOKUP($A333,'Institution Evaluation'!$A$56:$K$345,3,0)&amp;""</f>
        <v>No</v>
      </c>
      <c r="G333" s="4" t="str">
        <f>VLOOKUP($A333,'Institution Evaluation'!$A$56:$K$345,7,0)&amp;""</f>
        <v>Yes</v>
      </c>
      <c r="H333" s="4" t="str">
        <f>VLOOKUP($A333,'Institution Evaluation'!$A$56:$K$345,8,0)&amp;""</f>
        <v/>
      </c>
      <c r="I333" s="4" t="str">
        <f>VLOOKUP($A333,'Institution Evaluation'!$A$56:$K$345,9,0)&amp;""</f>
        <v>Standard Importance</v>
      </c>
      <c r="J333" s="4" t="str">
        <f>VLOOKUP($A333,'Institution Evaluation'!$A$56:$K$345,10,0)&amp;""</f>
        <v/>
      </c>
      <c r="K333" s="4">
        <f>IF($I333='Auto Responses'!$J$11,20,IF($I333='Auto Responses'!$J$13,5,10))</f>
        <v>10</v>
      </c>
      <c r="L333" s="105">
        <f>IF($E333='Auto Responses'!$L$13, 'Auto Responses'!$J$5,IF(AND($D333='Auto Responses'!$J$27,$H333=""),'Auto Responses'!$J$5,IF(AND($D333='Auto Responses'!$J$27,$H333='Auto Responses'!$J$7),1,IF(AND($D333='Auto Responses'!$J$27,$H333='Auto Responses'!$J$8),0,IF(OR(AND($F333=$G333,$H333=""),$H333='Auto Responses'!$J$7),1,0)))))</f>
        <v>0</v>
      </c>
      <c r="M333" s="4" t="str">
        <f>VLOOKUP($A333,'Institution Evaluation'!$A$56:$K$345,11,0)&amp;""</f>
        <v>FALSE</v>
      </c>
      <c r="N333" s="4">
        <f>IF($J333='Auto Responses'!$J$11,1,IF(AND($J333="",$I333='Auto Responses'!$J$11),1,0))</f>
        <v>0</v>
      </c>
      <c r="O333" s="105" t="str">
        <f>IF(OR($F$20='Auto Responses'!$J$4,$F$304='Auto Responses'!$J$4,$E333='Auto Responses'!$L$13,$F333='Auto Responses'!$J$5),'Auto Responses'!$J$5,IF($J333="",$K333,IF($J333='Auto Responses'!$J$13,5,IF($J333='Auto Responses'!$J$12,10,IF($J333='Auto Responses'!$J$11,20,0)))))</f>
        <v>N/A</v>
      </c>
      <c r="P333" s="105" t="str">
        <f>IF(OR($O333='Auto Responses'!$J$5,$L333='Auto Responses'!$J$5),'Auto Responses'!$J$5,$O333*$L333)</f>
        <v>N/A</v>
      </c>
      <c r="Q333" s="105">
        <f t="shared" si="39"/>
        <v>0</v>
      </c>
      <c r="R333" s="105">
        <f t="shared" si="44"/>
        <v>0</v>
      </c>
      <c r="S333" s="105">
        <f t="shared" si="40"/>
        <v>0</v>
      </c>
      <c r="T333" s="105">
        <f t="shared" si="41"/>
        <v>0</v>
      </c>
      <c r="U333" s="105">
        <f t="shared" si="45"/>
        <v>87</v>
      </c>
      <c r="V333" s="105">
        <f t="shared" si="42"/>
        <v>0</v>
      </c>
      <c r="W333" s="235" t="s">
        <v>36</v>
      </c>
    </row>
    <row r="334" spans="1:23" ht="15.5" thickBot="1" x14ac:dyDescent="0.35">
      <c r="A334" s="3"/>
      <c r="B334" s="3"/>
      <c r="C334" s="3"/>
      <c r="D334" s="3"/>
      <c r="E334" s="3"/>
      <c r="F334" s="3"/>
      <c r="G334" s="3"/>
      <c r="H334" s="3"/>
      <c r="I334" s="3"/>
      <c r="J334" s="3"/>
      <c r="K334" s="3"/>
    </row>
    <row r="335" spans="1:23" ht="15.5" thickBot="1" x14ac:dyDescent="0.35">
      <c r="A335" s="3"/>
      <c r="B335" s="3"/>
      <c r="C335" s="3"/>
      <c r="D335" s="3"/>
      <c r="E335" s="3"/>
      <c r="F335" s="3"/>
      <c r="G335" s="3"/>
      <c r="H335" s="3"/>
      <c r="I335" s="3"/>
      <c r="J335" s="3"/>
      <c r="K335" s="3"/>
      <c r="Q335" s="156">
        <f>SUM($Q3:$Q334)</f>
        <v>0</v>
      </c>
      <c r="R335" s="157"/>
      <c r="S335" s="157"/>
      <c r="T335" s="158">
        <f>SUM($T3:$T334)</f>
        <v>87</v>
      </c>
    </row>
    <row r="336" spans="1:23" x14ac:dyDescent="0.3">
      <c r="A336" s="235" t="s">
        <v>2143</v>
      </c>
      <c r="B336" s="3"/>
      <c r="C336" s="3"/>
      <c r="D336" s="3"/>
      <c r="E336" s="3"/>
      <c r="F336" s="3"/>
      <c r="G336" s="3"/>
      <c r="H336" s="3"/>
      <c r="I336" s="3"/>
      <c r="J336" s="3"/>
      <c r="K336" s="3"/>
    </row>
    <row r="337" spans="1:11" hidden="1" x14ac:dyDescent="0.3">
      <c r="A337" s="3"/>
      <c r="B337" s="3"/>
      <c r="C337" s="3"/>
      <c r="D337" s="3"/>
      <c r="E337" s="3"/>
      <c r="F337" s="3"/>
      <c r="G337" s="3"/>
      <c r="H337" s="3"/>
      <c r="I337" s="3"/>
      <c r="J337" s="3"/>
      <c r="K337" s="3"/>
    </row>
    <row r="338" spans="1:11" hidden="1" x14ac:dyDescent="0.3">
      <c r="A338" s="3"/>
      <c r="B338" s="3"/>
      <c r="C338" s="3"/>
      <c r="D338" s="3"/>
      <c r="E338" s="3"/>
      <c r="F338" s="3"/>
      <c r="G338" s="3"/>
      <c r="H338" s="3"/>
      <c r="I338" s="3"/>
      <c r="J338" s="3"/>
      <c r="K338" s="3"/>
    </row>
    <row r="339" spans="1:11" hidden="1" x14ac:dyDescent="0.3">
      <c r="A339" s="3"/>
      <c r="B339" s="3"/>
      <c r="C339" s="3"/>
      <c r="D339" s="3"/>
      <c r="E339" s="3"/>
      <c r="F339" s="3"/>
      <c r="G339" s="3"/>
      <c r="H339" s="3"/>
      <c r="I339" s="3"/>
      <c r="J339" s="3"/>
      <c r="K339" s="3"/>
    </row>
    <row r="340" spans="1:11" hidden="1" x14ac:dyDescent="0.3">
      <c r="A340" s="3"/>
      <c r="B340" s="3"/>
      <c r="C340" s="3"/>
      <c r="D340" s="3"/>
      <c r="E340" s="3"/>
      <c r="F340" s="3"/>
      <c r="G340" s="3"/>
      <c r="H340" s="3"/>
      <c r="I340" s="3"/>
      <c r="J340" s="3"/>
      <c r="K340" s="3"/>
    </row>
    <row r="341" spans="1:11" hidden="1" x14ac:dyDescent="0.3">
      <c r="A341" s="3"/>
      <c r="B341" s="3"/>
      <c r="C341" s="3"/>
      <c r="D341" s="3"/>
      <c r="E341" s="3"/>
      <c r="F341" s="3"/>
      <c r="G341" s="3"/>
      <c r="H341" s="3"/>
      <c r="I341" s="3"/>
      <c r="J341" s="3"/>
      <c r="K341" s="3"/>
    </row>
    <row r="342" spans="1:11" hidden="1" x14ac:dyDescent="0.3">
      <c r="A342" s="3"/>
      <c r="B342" s="3"/>
      <c r="C342" s="3"/>
      <c r="D342" s="3"/>
      <c r="E342" s="3"/>
      <c r="F342" s="3"/>
      <c r="G342" s="3"/>
      <c r="H342" s="3"/>
      <c r="I342" s="3"/>
      <c r="J342" s="3"/>
      <c r="K342" s="3"/>
    </row>
    <row r="343" spans="1:11" hidden="1" x14ac:dyDescent="0.3">
      <c r="A343" s="3"/>
      <c r="B343" s="3"/>
      <c r="C343" s="3"/>
      <c r="D343" s="3"/>
      <c r="E343" s="3"/>
      <c r="F343" s="3"/>
      <c r="G343" s="3"/>
      <c r="H343" s="3"/>
      <c r="I343" s="3"/>
      <c r="J343" s="3"/>
      <c r="K343" s="3"/>
    </row>
    <row r="344" spans="1:11" hidden="1" x14ac:dyDescent="0.3">
      <c r="A344" s="3"/>
      <c r="B344" s="3"/>
      <c r="C344" s="3"/>
      <c r="D344" s="3"/>
      <c r="E344" s="3"/>
      <c r="F344" s="3"/>
      <c r="G344" s="3"/>
      <c r="H344" s="3"/>
      <c r="I344" s="3"/>
      <c r="J344" s="3"/>
      <c r="K344" s="3"/>
    </row>
    <row r="345" spans="1:11" hidden="1" x14ac:dyDescent="0.3">
      <c r="A345" s="3"/>
      <c r="B345" s="3"/>
      <c r="C345" s="3"/>
      <c r="D345" s="3"/>
      <c r="E345" s="3"/>
      <c r="F345" s="3"/>
      <c r="G345" s="3"/>
      <c r="H345" s="3"/>
      <c r="I345" s="3"/>
      <c r="J345" s="3"/>
      <c r="K345" s="3"/>
    </row>
    <row r="346" spans="1:11" hidden="1" x14ac:dyDescent="0.3">
      <c r="A346" s="3"/>
      <c r="B346" s="3"/>
      <c r="C346" s="3"/>
      <c r="D346" s="3"/>
      <c r="E346" s="3"/>
      <c r="F346" s="3"/>
      <c r="G346" s="3"/>
      <c r="H346" s="3"/>
      <c r="I346" s="3"/>
      <c r="J346" s="3"/>
      <c r="K346" s="3"/>
    </row>
    <row r="347" spans="1:11" hidden="1" x14ac:dyDescent="0.3">
      <c r="A347" s="3"/>
      <c r="B347" s="3"/>
      <c r="C347" s="3"/>
      <c r="D347" s="3"/>
      <c r="E347" s="3"/>
      <c r="F347" s="3"/>
      <c r="G347" s="3"/>
      <c r="H347" s="3"/>
      <c r="I347" s="3"/>
      <c r="J347" s="3"/>
      <c r="K347" s="3"/>
    </row>
    <row r="348" spans="1:11" hidden="1" x14ac:dyDescent="0.3">
      <c r="A348" s="3"/>
      <c r="B348" s="3"/>
      <c r="C348" s="3"/>
      <c r="D348" s="3"/>
      <c r="E348" s="3"/>
      <c r="F348" s="3"/>
      <c r="G348" s="3"/>
      <c r="H348" s="3"/>
      <c r="I348" s="3"/>
      <c r="J348" s="3"/>
      <c r="K348" s="3"/>
    </row>
    <row r="349" spans="1:11" hidden="1" x14ac:dyDescent="0.3">
      <c r="A349" s="3"/>
      <c r="B349" s="3"/>
      <c r="C349" s="3"/>
      <c r="D349" s="3"/>
      <c r="E349" s="3"/>
      <c r="F349" s="3"/>
      <c r="G349" s="3"/>
      <c r="H349" s="3"/>
      <c r="I349" s="3"/>
      <c r="J349" s="3"/>
      <c r="K349" s="3"/>
    </row>
    <row r="350" spans="1:11" hidden="1" x14ac:dyDescent="0.3">
      <c r="A350" s="3"/>
      <c r="B350" s="3"/>
      <c r="C350" s="3"/>
      <c r="D350" s="3"/>
      <c r="E350" s="3"/>
      <c r="F350" s="3"/>
      <c r="G350" s="3"/>
      <c r="H350" s="3"/>
      <c r="I350" s="3"/>
      <c r="J350" s="3"/>
      <c r="K350" s="3"/>
    </row>
    <row r="351" spans="1:11" hidden="1" x14ac:dyDescent="0.3">
      <c r="A351" s="3"/>
      <c r="B351" s="3"/>
      <c r="C351" s="3"/>
      <c r="D351" s="3"/>
      <c r="E351" s="3"/>
      <c r="F351" s="3"/>
      <c r="G351" s="3"/>
      <c r="H351" s="3"/>
      <c r="I351" s="3"/>
      <c r="J351" s="3"/>
      <c r="K351" s="3"/>
    </row>
    <row r="352" spans="1:11" hidden="1" x14ac:dyDescent="0.3">
      <c r="A352" s="3"/>
      <c r="B352" s="3"/>
      <c r="C352" s="3"/>
      <c r="D352" s="3"/>
      <c r="E352" s="3"/>
      <c r="F352" s="3"/>
      <c r="G352" s="3"/>
      <c r="H352" s="3"/>
      <c r="I352" s="3"/>
      <c r="J352" s="3"/>
      <c r="K352" s="3"/>
    </row>
    <row r="353" spans="1:11" hidden="1" x14ac:dyDescent="0.3">
      <c r="A353" s="3"/>
      <c r="B353" s="3"/>
      <c r="C353" s="3"/>
      <c r="D353" s="3"/>
      <c r="E353" s="3"/>
      <c r="F353" s="3"/>
      <c r="G353" s="3"/>
      <c r="H353" s="3"/>
      <c r="I353" s="3"/>
      <c r="J353" s="3"/>
      <c r="K353" s="3"/>
    </row>
    <row r="354" spans="1:11" hidden="1" x14ac:dyDescent="0.3">
      <c r="A354" s="3"/>
      <c r="B354" s="3"/>
      <c r="C354" s="3"/>
      <c r="D354" s="3"/>
      <c r="E354" s="3"/>
      <c r="F354" s="3"/>
      <c r="G354" s="3"/>
      <c r="H354" s="3"/>
      <c r="I354" s="3"/>
      <c r="J354" s="3"/>
      <c r="K354" s="3"/>
    </row>
    <row r="355" spans="1:11" hidden="1" x14ac:dyDescent="0.3">
      <c r="A355" s="3"/>
      <c r="B355" s="3"/>
      <c r="C355" s="3"/>
      <c r="D355" s="3"/>
      <c r="E355" s="3"/>
      <c r="F355" s="3"/>
      <c r="G355" s="3"/>
      <c r="H355" s="3"/>
      <c r="I355" s="3"/>
      <c r="J355" s="3"/>
      <c r="K355" s="3"/>
    </row>
    <row r="356" spans="1:11" hidden="1" x14ac:dyDescent="0.3">
      <c r="A356" s="3"/>
      <c r="B356" s="3"/>
      <c r="C356" s="3"/>
      <c r="D356" s="3"/>
      <c r="E356" s="3"/>
      <c r="F356" s="3"/>
      <c r="G356" s="3"/>
      <c r="H356" s="3"/>
      <c r="I356" s="3"/>
      <c r="J356" s="3"/>
      <c r="K356" s="3"/>
    </row>
    <row r="357" spans="1:11" hidden="1" x14ac:dyDescent="0.3">
      <c r="A357" s="3"/>
      <c r="B357" s="3"/>
      <c r="C357" s="3"/>
      <c r="D357" s="3"/>
      <c r="E357" s="3"/>
      <c r="F357" s="3"/>
      <c r="G357" s="3"/>
      <c r="H357" s="3"/>
      <c r="I357" s="3"/>
      <c r="J357" s="3"/>
      <c r="K357" s="3"/>
    </row>
    <row r="358" spans="1:11" hidden="1" x14ac:dyDescent="0.3">
      <c r="A358" s="3"/>
      <c r="B358" s="3"/>
      <c r="C358" s="3"/>
      <c r="D358" s="3"/>
      <c r="E358" s="3"/>
      <c r="F358" s="3"/>
      <c r="G358" s="3"/>
      <c r="H358" s="3"/>
      <c r="I358" s="3"/>
      <c r="J358" s="3"/>
      <c r="K358" s="3"/>
    </row>
    <row r="359" spans="1:11" hidden="1" x14ac:dyDescent="0.3">
      <c r="A359" s="3"/>
      <c r="B359" s="3"/>
      <c r="C359" s="3"/>
      <c r="D359" s="3"/>
      <c r="E359" s="3"/>
      <c r="F359" s="3"/>
      <c r="G359" s="3"/>
      <c r="H359" s="3"/>
      <c r="I359" s="3"/>
      <c r="J359" s="3"/>
      <c r="K359" s="3"/>
    </row>
    <row r="360" spans="1:11" hidden="1" x14ac:dyDescent="0.3">
      <c r="A360" s="3"/>
      <c r="B360" s="3"/>
      <c r="C360" s="3"/>
      <c r="D360" s="3"/>
      <c r="E360" s="3"/>
      <c r="F360" s="3"/>
      <c r="G360" s="3"/>
      <c r="H360" s="3"/>
      <c r="I360" s="3"/>
      <c r="J360" s="3"/>
      <c r="K360" s="3"/>
    </row>
    <row r="361" spans="1:11" hidden="1" x14ac:dyDescent="0.3">
      <c r="A361" s="3"/>
      <c r="B361" s="3"/>
      <c r="C361" s="3"/>
      <c r="D361" s="3"/>
      <c r="E361" s="3"/>
      <c r="F361" s="3"/>
      <c r="G361" s="3"/>
      <c r="H361" s="3"/>
      <c r="I361" s="3"/>
      <c r="J361" s="3"/>
      <c r="K361" s="3"/>
    </row>
    <row r="362" spans="1:11" hidden="1" x14ac:dyDescent="0.3">
      <c r="A362" s="3"/>
      <c r="B362" s="3"/>
      <c r="C362" s="3"/>
      <c r="D362" s="3"/>
      <c r="E362" s="3"/>
      <c r="F362" s="3"/>
      <c r="G362" s="3"/>
      <c r="H362" s="3"/>
      <c r="I362" s="3"/>
      <c r="J362" s="3"/>
      <c r="K362" s="3"/>
    </row>
    <row r="363" spans="1:11" hidden="1" x14ac:dyDescent="0.3">
      <c r="A363" s="3"/>
      <c r="B363" s="3"/>
      <c r="C363" s="3"/>
      <c r="D363" s="3"/>
      <c r="E363" s="3"/>
      <c r="F363" s="3"/>
      <c r="G363" s="3"/>
      <c r="H363" s="3"/>
      <c r="I363" s="3"/>
      <c r="J363" s="3"/>
      <c r="K363" s="3"/>
    </row>
    <row r="364" spans="1:11" hidden="1" x14ac:dyDescent="0.3">
      <c r="A364" s="3"/>
      <c r="B364" s="3"/>
      <c r="C364" s="3"/>
      <c r="D364" s="3"/>
      <c r="E364" s="3"/>
      <c r="F364" s="3"/>
      <c r="G364" s="3"/>
      <c r="H364" s="3"/>
      <c r="I364" s="3"/>
      <c r="J364" s="3"/>
      <c r="K364" s="3"/>
    </row>
    <row r="365" spans="1:11" hidden="1" x14ac:dyDescent="0.3">
      <c r="A365" s="3"/>
      <c r="B365" s="3"/>
      <c r="C365" s="3"/>
      <c r="D365" s="3"/>
      <c r="E365" s="3"/>
      <c r="F365" s="3"/>
      <c r="G365" s="3"/>
      <c r="H365" s="3"/>
      <c r="I365" s="3"/>
      <c r="J365" s="3"/>
      <c r="K365" s="3"/>
    </row>
    <row r="366" spans="1:11" hidden="1" x14ac:dyDescent="0.3">
      <c r="A366" s="3"/>
      <c r="B366" s="3"/>
      <c r="C366" s="3"/>
      <c r="D366" s="3"/>
      <c r="E366" s="3"/>
      <c r="F366" s="3"/>
      <c r="G366" s="3"/>
      <c r="H366" s="3"/>
      <c r="I366" s="3"/>
      <c r="J366" s="3"/>
      <c r="K366" s="3"/>
    </row>
    <row r="367" spans="1:11" hidden="1" x14ac:dyDescent="0.3">
      <c r="A367" s="3"/>
      <c r="B367" s="3"/>
      <c r="C367" s="3"/>
      <c r="D367" s="3"/>
      <c r="E367" s="3"/>
      <c r="F367" s="3"/>
      <c r="G367" s="3"/>
      <c r="H367" s="3"/>
      <c r="I367" s="3"/>
      <c r="J367" s="3"/>
      <c r="K367" s="3"/>
    </row>
    <row r="368" spans="1:11" hidden="1" x14ac:dyDescent="0.3">
      <c r="A368" s="3"/>
      <c r="B368" s="3"/>
      <c r="C368" s="3"/>
      <c r="D368" s="3"/>
      <c r="E368" s="3"/>
      <c r="F368" s="3"/>
      <c r="G368" s="3"/>
      <c r="H368" s="3"/>
      <c r="I368" s="3"/>
      <c r="J368" s="3"/>
      <c r="K368" s="3"/>
    </row>
    <row r="369" spans="1:11" hidden="1" x14ac:dyDescent="0.3">
      <c r="A369" s="3"/>
      <c r="B369" s="3"/>
      <c r="C369" s="3"/>
      <c r="D369" s="3"/>
      <c r="E369" s="3"/>
      <c r="F369" s="3"/>
      <c r="G369" s="3"/>
      <c r="H369" s="3"/>
      <c r="I369" s="3"/>
      <c r="J369" s="3"/>
      <c r="K369" s="3"/>
    </row>
    <row r="370" spans="1:11" hidden="1" x14ac:dyDescent="0.3">
      <c r="A370" s="3"/>
      <c r="B370" s="3"/>
      <c r="C370" s="3"/>
      <c r="D370" s="3"/>
      <c r="E370" s="3"/>
      <c r="F370" s="3"/>
      <c r="G370" s="3"/>
      <c r="H370" s="3"/>
      <c r="I370" s="3"/>
      <c r="J370" s="3"/>
      <c r="K370" s="3"/>
    </row>
    <row r="371" spans="1:11" hidden="1" x14ac:dyDescent="0.3">
      <c r="A371" s="3"/>
      <c r="B371" s="3"/>
      <c r="C371" s="3"/>
      <c r="D371" s="3"/>
      <c r="E371" s="3"/>
      <c r="F371" s="3"/>
      <c r="G371" s="3"/>
      <c r="H371" s="3"/>
      <c r="I371" s="3"/>
      <c r="J371" s="3"/>
      <c r="K371" s="3"/>
    </row>
    <row r="372" spans="1:11" hidden="1" x14ac:dyDescent="0.3">
      <c r="A372" s="3"/>
      <c r="B372" s="3"/>
      <c r="C372" s="3"/>
      <c r="D372" s="3"/>
      <c r="E372" s="3"/>
      <c r="F372" s="3"/>
      <c r="G372" s="3"/>
      <c r="H372" s="3"/>
      <c r="I372" s="3"/>
      <c r="J372" s="3"/>
      <c r="K372" s="3"/>
    </row>
    <row r="373" spans="1:11" hidden="1" x14ac:dyDescent="0.3">
      <c r="A373" s="3"/>
      <c r="B373" s="3"/>
      <c r="C373" s="3"/>
      <c r="D373" s="3"/>
      <c r="E373" s="3"/>
      <c r="F373" s="3"/>
      <c r="G373" s="3"/>
      <c r="H373" s="3"/>
      <c r="I373" s="3"/>
      <c r="J373" s="3"/>
      <c r="K373" s="3"/>
    </row>
    <row r="374" spans="1:11" hidden="1" x14ac:dyDescent="0.3">
      <c r="A374" s="3"/>
      <c r="B374" s="3"/>
      <c r="C374" s="3"/>
      <c r="D374" s="3"/>
      <c r="E374" s="3"/>
      <c r="F374" s="3"/>
      <c r="G374" s="3"/>
      <c r="H374" s="3"/>
      <c r="I374" s="3"/>
      <c r="J374" s="3"/>
      <c r="K374" s="3"/>
    </row>
    <row r="375" spans="1:11" hidden="1" x14ac:dyDescent="0.3">
      <c r="A375" s="3"/>
      <c r="B375" s="3"/>
      <c r="C375" s="3"/>
      <c r="D375" s="3"/>
      <c r="E375" s="3"/>
      <c r="F375" s="3"/>
      <c r="G375" s="3"/>
      <c r="H375" s="3"/>
      <c r="I375" s="3"/>
      <c r="J375" s="3"/>
      <c r="K375" s="3"/>
    </row>
    <row r="376" spans="1:11" hidden="1" x14ac:dyDescent="0.3">
      <c r="A376" s="3"/>
      <c r="B376" s="3"/>
      <c r="C376" s="3"/>
      <c r="D376" s="3"/>
      <c r="E376" s="3"/>
      <c r="F376" s="3"/>
      <c r="G376" s="3"/>
      <c r="H376" s="3"/>
      <c r="I376" s="3"/>
      <c r="J376" s="3"/>
      <c r="K376" s="3"/>
    </row>
    <row r="377" spans="1:11" hidden="1" x14ac:dyDescent="0.3">
      <c r="A377" s="3"/>
      <c r="B377" s="3"/>
      <c r="C377" s="3"/>
      <c r="D377" s="3"/>
      <c r="E377" s="3"/>
      <c r="F377" s="3"/>
      <c r="G377" s="3"/>
      <c r="H377" s="3"/>
      <c r="I377" s="3"/>
      <c r="J377" s="3"/>
      <c r="K377" s="3"/>
    </row>
    <row r="378" spans="1:11" hidden="1" x14ac:dyDescent="0.3">
      <c r="A378" s="3"/>
      <c r="B378" s="3"/>
      <c r="C378" s="3"/>
      <c r="D378" s="3"/>
      <c r="E378" s="3"/>
      <c r="F378" s="3"/>
      <c r="G378" s="3"/>
      <c r="H378" s="3"/>
      <c r="I378" s="3"/>
      <c r="J378" s="3"/>
      <c r="K378" s="3"/>
    </row>
    <row r="379" spans="1:11" hidden="1" x14ac:dyDescent="0.3">
      <c r="A379" s="3"/>
      <c r="B379" s="3"/>
      <c r="C379" s="3"/>
      <c r="D379" s="3"/>
      <c r="E379" s="3"/>
      <c r="F379" s="3"/>
      <c r="G379" s="3"/>
      <c r="H379" s="3"/>
      <c r="I379" s="3"/>
      <c r="J379" s="3"/>
      <c r="K379" s="3"/>
    </row>
    <row r="380" spans="1:11" hidden="1" x14ac:dyDescent="0.3">
      <c r="A380" s="3"/>
      <c r="B380" s="3"/>
      <c r="C380" s="3"/>
      <c r="D380" s="3"/>
      <c r="E380" s="3"/>
      <c r="F380" s="3"/>
      <c r="G380" s="3"/>
      <c r="H380" s="3"/>
      <c r="I380" s="3"/>
      <c r="J380" s="3"/>
      <c r="K380" s="3"/>
    </row>
    <row r="381" spans="1:11" hidden="1" x14ac:dyDescent="0.3">
      <c r="A381" s="3"/>
      <c r="B381" s="3"/>
      <c r="C381" s="3"/>
      <c r="D381" s="3"/>
      <c r="E381" s="3"/>
      <c r="F381" s="3"/>
      <c r="G381" s="3"/>
      <c r="H381" s="3"/>
      <c r="I381" s="3"/>
      <c r="J381" s="3"/>
      <c r="K381" s="3"/>
    </row>
    <row r="382" spans="1:11" hidden="1" x14ac:dyDescent="0.3">
      <c r="A382" s="3"/>
      <c r="B382" s="3"/>
      <c r="C382" s="3"/>
      <c r="D382" s="3"/>
      <c r="E382" s="3"/>
      <c r="F382" s="3"/>
      <c r="G382" s="3"/>
      <c r="H382" s="3"/>
      <c r="I382" s="3"/>
      <c r="J382" s="3"/>
      <c r="K382" s="3"/>
    </row>
    <row r="383" spans="1:11" hidden="1" x14ac:dyDescent="0.3">
      <c r="A383" s="3"/>
      <c r="B383" s="3"/>
      <c r="C383" s="3"/>
      <c r="D383" s="3"/>
      <c r="E383" s="3"/>
      <c r="F383" s="3"/>
      <c r="G383" s="3"/>
      <c r="H383" s="3"/>
      <c r="I383" s="3"/>
      <c r="J383" s="3"/>
      <c r="K383" s="3"/>
    </row>
    <row r="384" spans="1:11" hidden="1" x14ac:dyDescent="0.3">
      <c r="A384" s="3"/>
      <c r="B384" s="3"/>
      <c r="C384" s="3"/>
      <c r="D384" s="3"/>
      <c r="E384" s="3"/>
      <c r="F384" s="3"/>
      <c r="G384" s="3"/>
      <c r="H384" s="3"/>
      <c r="I384" s="3"/>
      <c r="J384" s="3"/>
      <c r="K384" s="3"/>
    </row>
    <row r="385" spans="1:11" hidden="1" x14ac:dyDescent="0.3">
      <c r="A385" s="3"/>
      <c r="B385" s="3"/>
      <c r="C385" s="3"/>
      <c r="D385" s="3"/>
      <c r="E385" s="3"/>
      <c r="F385" s="3"/>
      <c r="G385" s="3"/>
      <c r="H385" s="3"/>
      <c r="I385" s="3"/>
      <c r="J385" s="3"/>
      <c r="K385" s="3"/>
    </row>
    <row r="386" spans="1:11" hidden="1" x14ac:dyDescent="0.3">
      <c r="A386" s="3"/>
      <c r="B386" s="3"/>
      <c r="C386" s="3"/>
      <c r="D386" s="3"/>
      <c r="E386" s="3"/>
      <c r="F386" s="3"/>
      <c r="G386" s="3"/>
      <c r="H386" s="3"/>
      <c r="I386" s="3"/>
      <c r="J386" s="3"/>
      <c r="K386" s="3"/>
    </row>
    <row r="387" spans="1:11" hidden="1" x14ac:dyDescent="0.3">
      <c r="A387" s="3"/>
      <c r="B387" s="3"/>
      <c r="C387" s="3"/>
      <c r="D387" s="3"/>
      <c r="E387" s="3"/>
      <c r="F387" s="3"/>
      <c r="G387" s="3"/>
      <c r="H387" s="3"/>
      <c r="I387" s="3"/>
      <c r="J387" s="3"/>
      <c r="K387" s="3"/>
    </row>
    <row r="388" spans="1:11" hidden="1" x14ac:dyDescent="0.3">
      <c r="A388" s="3"/>
      <c r="B388" s="3"/>
      <c r="C388" s="3"/>
      <c r="D388" s="3"/>
      <c r="E388" s="3"/>
      <c r="F388" s="3"/>
      <c r="G388" s="3"/>
      <c r="H388" s="3"/>
      <c r="I388" s="3"/>
      <c r="J388" s="3"/>
      <c r="K388" s="3"/>
    </row>
    <row r="389" spans="1:11" hidden="1" x14ac:dyDescent="0.3">
      <c r="A389" s="3"/>
      <c r="B389" s="3"/>
      <c r="C389" s="3"/>
      <c r="D389" s="3"/>
      <c r="E389" s="3"/>
      <c r="F389" s="3"/>
      <c r="G389" s="3"/>
      <c r="H389" s="3"/>
      <c r="I389" s="3"/>
      <c r="J389" s="3"/>
      <c r="K389" s="3"/>
    </row>
    <row r="390" spans="1:11" hidden="1" x14ac:dyDescent="0.3">
      <c r="A390" s="3"/>
      <c r="B390" s="3"/>
      <c r="C390" s="3"/>
      <c r="D390" s="3"/>
      <c r="E390" s="3"/>
      <c r="F390" s="3"/>
      <c r="G390" s="3"/>
      <c r="H390" s="3"/>
      <c r="I390" s="3"/>
      <c r="J390" s="3"/>
      <c r="K390" s="3"/>
    </row>
    <row r="391" spans="1:11" hidden="1" x14ac:dyDescent="0.3">
      <c r="A391" s="3"/>
      <c r="B391" s="3"/>
      <c r="C391" s="3"/>
      <c r="D391" s="3"/>
      <c r="E391" s="3"/>
      <c r="F391" s="3"/>
      <c r="G391" s="3"/>
      <c r="H391" s="3"/>
      <c r="I391" s="3"/>
      <c r="J391" s="3"/>
      <c r="K391" s="3"/>
    </row>
    <row r="392" spans="1:11" hidden="1" x14ac:dyDescent="0.3">
      <c r="A392" s="3"/>
      <c r="B392" s="3"/>
      <c r="C392" s="3"/>
      <c r="D392" s="3"/>
      <c r="E392" s="3"/>
      <c r="F392" s="3"/>
      <c r="G392" s="3"/>
      <c r="H392" s="3"/>
      <c r="I392" s="3"/>
      <c r="J392" s="3"/>
      <c r="K392" s="3"/>
    </row>
    <row r="393" spans="1:11" hidden="1" x14ac:dyDescent="0.3">
      <c r="A393" s="3"/>
      <c r="B393" s="3"/>
      <c r="C393" s="3"/>
      <c r="D393" s="3"/>
      <c r="E393" s="3"/>
      <c r="F393" s="3"/>
      <c r="G393" s="3"/>
      <c r="H393" s="3"/>
      <c r="I393" s="3"/>
      <c r="J393" s="3"/>
      <c r="K393" s="3"/>
    </row>
    <row r="394" spans="1:11" hidden="1" x14ac:dyDescent="0.3">
      <c r="A394" s="3"/>
      <c r="B394" s="3"/>
      <c r="C394" s="3"/>
      <c r="D394" s="3"/>
      <c r="E394" s="3"/>
      <c r="F394" s="3"/>
      <c r="G394" s="3"/>
      <c r="H394" s="3"/>
      <c r="I394" s="3"/>
      <c r="J394" s="3"/>
      <c r="K394" s="3"/>
    </row>
    <row r="395" spans="1:11" hidden="1" x14ac:dyDescent="0.3">
      <c r="A395" s="3"/>
      <c r="B395" s="3"/>
      <c r="C395" s="3"/>
      <c r="D395" s="3"/>
      <c r="E395" s="3"/>
      <c r="F395" s="3"/>
      <c r="G395" s="3"/>
      <c r="H395" s="3"/>
      <c r="I395" s="3"/>
      <c r="J395" s="3"/>
      <c r="K395" s="3"/>
    </row>
    <row r="396" spans="1:11" hidden="1" x14ac:dyDescent="0.3">
      <c r="A396" s="3"/>
      <c r="B396" s="3"/>
      <c r="C396" s="3"/>
      <c r="D396" s="3"/>
      <c r="E396" s="3"/>
      <c r="F396" s="3"/>
      <c r="G396" s="3"/>
      <c r="H396" s="3"/>
      <c r="I396" s="3"/>
      <c r="J396" s="3"/>
      <c r="K396" s="3"/>
    </row>
    <row r="397" spans="1:11" hidden="1" x14ac:dyDescent="0.3">
      <c r="A397" s="3"/>
      <c r="B397" s="3"/>
      <c r="C397" s="3"/>
      <c r="D397" s="3"/>
      <c r="E397" s="3"/>
      <c r="F397" s="3"/>
      <c r="G397" s="3"/>
      <c r="H397" s="3"/>
      <c r="I397" s="3"/>
      <c r="J397" s="3"/>
      <c r="K397" s="3"/>
    </row>
    <row r="398" spans="1:11" hidden="1" x14ac:dyDescent="0.3">
      <c r="A398" s="3"/>
      <c r="B398" s="3"/>
      <c r="C398" s="3"/>
      <c r="D398" s="3"/>
      <c r="E398" s="3"/>
      <c r="F398" s="3"/>
      <c r="G398" s="3"/>
      <c r="H398" s="3"/>
      <c r="I398" s="3"/>
      <c r="J398" s="3"/>
      <c r="K398" s="3"/>
    </row>
    <row r="399" spans="1:11" hidden="1" x14ac:dyDescent="0.3">
      <c r="A399" s="3"/>
      <c r="B399" s="3"/>
      <c r="C399" s="3"/>
      <c r="D399" s="3"/>
      <c r="E399" s="3"/>
      <c r="F399" s="3"/>
      <c r="G399" s="3"/>
      <c r="H399" s="3"/>
      <c r="I399" s="3"/>
      <c r="J399" s="3"/>
      <c r="K399" s="3"/>
    </row>
    <row r="400" spans="1:11" hidden="1" x14ac:dyDescent="0.3">
      <c r="A400" s="3"/>
      <c r="B400" s="3"/>
      <c r="C400" s="3"/>
      <c r="D400" s="3"/>
      <c r="E400" s="3"/>
      <c r="F400" s="3"/>
      <c r="G400" s="3"/>
      <c r="H400" s="3"/>
      <c r="I400" s="3"/>
      <c r="J400" s="3"/>
      <c r="K400" s="3"/>
    </row>
    <row r="401" spans="1:11" hidden="1" x14ac:dyDescent="0.3">
      <c r="A401" s="3"/>
      <c r="B401" s="3"/>
      <c r="C401" s="3"/>
      <c r="D401" s="3"/>
      <c r="E401" s="3"/>
      <c r="F401" s="3"/>
      <c r="G401" s="3"/>
      <c r="H401" s="3"/>
      <c r="I401" s="3"/>
      <c r="J401" s="3"/>
      <c r="K401" s="3"/>
    </row>
    <row r="402" spans="1:11" hidden="1" x14ac:dyDescent="0.3">
      <c r="A402" s="3"/>
      <c r="B402" s="3"/>
      <c r="C402" s="3"/>
      <c r="D402" s="3"/>
      <c r="E402" s="3"/>
      <c r="F402" s="3"/>
      <c r="G402" s="3"/>
      <c r="H402" s="3"/>
      <c r="I402" s="3"/>
      <c r="J402" s="3"/>
      <c r="K402" s="3"/>
    </row>
    <row r="403" spans="1:11" hidden="1" x14ac:dyDescent="0.3">
      <c r="A403" s="3"/>
      <c r="B403" s="3"/>
      <c r="C403" s="3"/>
      <c r="D403" s="3"/>
      <c r="E403" s="3"/>
      <c r="F403" s="3"/>
      <c r="G403" s="3"/>
      <c r="H403" s="3"/>
      <c r="I403" s="3"/>
      <c r="J403" s="3"/>
      <c r="K403" s="3"/>
    </row>
    <row r="404" spans="1:11" hidden="1" x14ac:dyDescent="0.3">
      <c r="A404" s="3"/>
      <c r="B404" s="3"/>
      <c r="C404" s="3"/>
      <c r="D404" s="3"/>
      <c r="E404" s="3"/>
      <c r="F404" s="3"/>
      <c r="G404" s="3"/>
      <c r="H404" s="3"/>
      <c r="I404" s="3"/>
      <c r="J404" s="3"/>
      <c r="K404" s="3"/>
    </row>
    <row r="405" spans="1:11" hidden="1" x14ac:dyDescent="0.3">
      <c r="A405" s="3"/>
      <c r="B405" s="3"/>
      <c r="C405" s="3"/>
      <c r="D405" s="3"/>
      <c r="E405" s="3"/>
      <c r="F405" s="3"/>
      <c r="G405" s="3"/>
      <c r="H405" s="3"/>
      <c r="I405" s="3"/>
      <c r="J405" s="3"/>
      <c r="K405" s="3"/>
    </row>
    <row r="406" spans="1:11" hidden="1" x14ac:dyDescent="0.3">
      <c r="A406" s="3"/>
      <c r="B406" s="3"/>
      <c r="C406" s="3"/>
      <c r="D406" s="3"/>
      <c r="E406" s="3"/>
      <c r="F406" s="3"/>
      <c r="G406" s="3"/>
      <c r="H406" s="3"/>
      <c r="I406" s="3"/>
      <c r="J406" s="3"/>
      <c r="K406" s="3"/>
    </row>
    <row r="407" spans="1:11" hidden="1" x14ac:dyDescent="0.3">
      <c r="A407" s="3"/>
      <c r="B407" s="3"/>
      <c r="C407" s="3"/>
      <c r="D407" s="3"/>
      <c r="E407" s="3"/>
      <c r="F407" s="3"/>
      <c r="G407" s="3"/>
      <c r="H407" s="3"/>
      <c r="I407" s="3"/>
      <c r="J407" s="3"/>
      <c r="K407" s="3"/>
    </row>
    <row r="408" spans="1:11" hidden="1" x14ac:dyDescent="0.3">
      <c r="A408" s="3"/>
      <c r="B408" s="3"/>
      <c r="C408" s="3"/>
      <c r="D408" s="3"/>
      <c r="E408" s="3"/>
      <c r="F408" s="3"/>
      <c r="G408" s="3"/>
      <c r="H408" s="3"/>
      <c r="I408" s="3"/>
      <c r="J408" s="3"/>
      <c r="K408" s="3"/>
    </row>
    <row r="409" spans="1:11" hidden="1" x14ac:dyDescent="0.3">
      <c r="A409" s="3"/>
      <c r="B409" s="3"/>
      <c r="C409" s="3"/>
      <c r="D409" s="3"/>
      <c r="E409" s="3"/>
      <c r="F409" s="3"/>
      <c r="G409" s="3"/>
      <c r="H409" s="3"/>
      <c r="I409" s="3"/>
      <c r="J409" s="3"/>
      <c r="K409" s="3"/>
    </row>
    <row r="410" spans="1:11" hidden="1" x14ac:dyDescent="0.3">
      <c r="A410" s="3"/>
      <c r="B410" s="3"/>
      <c r="C410" s="3"/>
      <c r="D410" s="3"/>
      <c r="E410" s="3"/>
      <c r="F410" s="3"/>
      <c r="G410" s="3"/>
      <c r="H410" s="3"/>
      <c r="I410" s="3"/>
      <c r="J410" s="3"/>
      <c r="K410" s="3"/>
    </row>
    <row r="411" spans="1:11" hidden="1" x14ac:dyDescent="0.3">
      <c r="A411" s="3"/>
      <c r="B411" s="3"/>
      <c r="C411" s="3"/>
      <c r="D411" s="3"/>
      <c r="E411" s="3"/>
      <c r="F411" s="3"/>
      <c r="G411" s="3"/>
      <c r="H411" s="3"/>
      <c r="I411" s="3"/>
      <c r="J411" s="3"/>
      <c r="K411" s="3"/>
    </row>
    <row r="412" spans="1:11" hidden="1" x14ac:dyDescent="0.3">
      <c r="A412" s="3"/>
      <c r="B412" s="3"/>
      <c r="C412" s="3"/>
      <c r="D412" s="3"/>
      <c r="E412" s="3"/>
      <c r="F412" s="3"/>
      <c r="G412" s="3"/>
      <c r="H412" s="3"/>
      <c r="I412" s="3"/>
      <c r="J412" s="3"/>
      <c r="K412" s="3"/>
    </row>
    <row r="413" spans="1:11" hidden="1" x14ac:dyDescent="0.3">
      <c r="A413" s="3"/>
      <c r="B413" s="3"/>
      <c r="C413" s="3"/>
      <c r="D413" s="3"/>
      <c r="E413" s="3"/>
      <c r="F413" s="3"/>
      <c r="G413" s="3"/>
      <c r="H413" s="3"/>
      <c r="I413" s="3"/>
      <c r="J413" s="3"/>
      <c r="K413" s="3"/>
    </row>
    <row r="414" spans="1:11" hidden="1" x14ac:dyDescent="0.3">
      <c r="A414" s="3"/>
      <c r="B414" s="3"/>
      <c r="C414" s="3"/>
      <c r="D414" s="3"/>
      <c r="E414" s="3"/>
      <c r="F414" s="3"/>
      <c r="G414" s="3"/>
      <c r="H414" s="3"/>
      <c r="I414" s="3"/>
      <c r="J414" s="3"/>
      <c r="K414" s="3"/>
    </row>
    <row r="415" spans="1:11" hidden="1" x14ac:dyDescent="0.3">
      <c r="A415" s="3"/>
      <c r="B415" s="3"/>
      <c r="C415" s="3"/>
      <c r="D415" s="3"/>
      <c r="E415" s="3"/>
      <c r="F415" s="3"/>
      <c r="G415" s="3"/>
      <c r="H415" s="3"/>
      <c r="I415" s="3"/>
      <c r="J415" s="3"/>
      <c r="K415" s="3"/>
    </row>
    <row r="416" spans="1:11" hidden="1" x14ac:dyDescent="0.3">
      <c r="A416" s="3"/>
      <c r="B416" s="3"/>
      <c r="C416" s="3"/>
      <c r="D416" s="3"/>
      <c r="E416" s="3"/>
      <c r="F416" s="3"/>
      <c r="G416" s="3"/>
      <c r="H416" s="3"/>
      <c r="I416" s="3"/>
      <c r="J416" s="3"/>
      <c r="K416" s="3"/>
    </row>
    <row r="417" spans="1:11" hidden="1" x14ac:dyDescent="0.3">
      <c r="A417" s="3"/>
      <c r="B417" s="3"/>
      <c r="C417" s="3"/>
      <c r="D417" s="3"/>
      <c r="E417" s="3"/>
      <c r="F417" s="3"/>
      <c r="G417" s="3"/>
      <c r="H417" s="3"/>
      <c r="I417" s="3"/>
      <c r="J417" s="3"/>
      <c r="K417" s="3"/>
    </row>
    <row r="418" spans="1:11" hidden="1" x14ac:dyDescent="0.3">
      <c r="A418" s="3"/>
      <c r="B418" s="3"/>
      <c r="C418" s="3"/>
      <c r="D418" s="3"/>
      <c r="E418" s="3"/>
      <c r="F418" s="3"/>
      <c r="G418" s="3"/>
      <c r="H418" s="3"/>
      <c r="I418" s="3"/>
      <c r="J418" s="3"/>
      <c r="K418" s="3"/>
    </row>
    <row r="419" spans="1:11" hidden="1" x14ac:dyDescent="0.3">
      <c r="A419" s="3"/>
      <c r="B419" s="3"/>
      <c r="C419" s="3"/>
      <c r="D419" s="3"/>
      <c r="E419" s="3"/>
      <c r="F419" s="3"/>
      <c r="G419" s="3"/>
      <c r="H419" s="3"/>
      <c r="I419" s="3"/>
      <c r="J419" s="3"/>
      <c r="K419" s="3"/>
    </row>
    <row r="420" spans="1:11" hidden="1" x14ac:dyDescent="0.3">
      <c r="A420" s="3"/>
      <c r="B420" s="3"/>
      <c r="C420" s="3"/>
      <c r="D420" s="3"/>
      <c r="E420" s="3"/>
      <c r="F420" s="3"/>
      <c r="G420" s="3"/>
      <c r="H420" s="3"/>
      <c r="I420" s="3"/>
      <c r="J420" s="3"/>
      <c r="K420" s="3"/>
    </row>
    <row r="421" spans="1:11" hidden="1" x14ac:dyDescent="0.3">
      <c r="A421" s="3"/>
      <c r="B421" s="3"/>
      <c r="C421" s="3"/>
      <c r="D421" s="3"/>
      <c r="E421" s="3"/>
      <c r="F421" s="3"/>
      <c r="G421" s="3"/>
      <c r="H421" s="3"/>
      <c r="I421" s="3"/>
      <c r="J421" s="3"/>
      <c r="K421" s="3"/>
    </row>
    <row r="422" spans="1:11" hidden="1" x14ac:dyDescent="0.3">
      <c r="A422" s="3"/>
      <c r="B422" s="3"/>
      <c r="C422" s="3"/>
      <c r="D422" s="3"/>
      <c r="E422" s="3"/>
      <c r="F422" s="3"/>
      <c r="G422" s="3"/>
      <c r="H422" s="3"/>
      <c r="I422" s="3"/>
      <c r="J422" s="3"/>
      <c r="K422" s="3"/>
    </row>
    <row r="423" spans="1:11" hidden="1" x14ac:dyDescent="0.3">
      <c r="A423" s="3"/>
      <c r="B423" s="3"/>
      <c r="C423" s="3"/>
      <c r="D423" s="3"/>
      <c r="E423" s="3"/>
      <c r="F423" s="3"/>
      <c r="G423" s="3"/>
      <c r="H423" s="3"/>
      <c r="I423" s="3"/>
      <c r="J423" s="3"/>
      <c r="K423" s="3"/>
    </row>
    <row r="424" spans="1:11" hidden="1" x14ac:dyDescent="0.3">
      <c r="A424" s="3"/>
      <c r="B424" s="3"/>
      <c r="C424" s="3"/>
      <c r="D424" s="3"/>
      <c r="E424" s="3"/>
      <c r="F424" s="3"/>
      <c r="G424" s="3"/>
      <c r="H424" s="3"/>
      <c r="I424" s="3"/>
      <c r="J424" s="3"/>
      <c r="K424" s="3"/>
    </row>
    <row r="425" spans="1:11" hidden="1" x14ac:dyDescent="0.3">
      <c r="A425" s="3"/>
      <c r="B425" s="3"/>
      <c r="C425" s="3"/>
      <c r="D425" s="3"/>
      <c r="E425" s="3"/>
      <c r="F425" s="3"/>
      <c r="G425" s="3"/>
      <c r="H425" s="3"/>
      <c r="I425" s="3"/>
      <c r="J425" s="3"/>
      <c r="K425" s="3"/>
    </row>
    <row r="426" spans="1:11" hidden="1" x14ac:dyDescent="0.3">
      <c r="A426" s="3"/>
      <c r="B426" s="3"/>
      <c r="C426" s="3"/>
      <c r="D426" s="3"/>
      <c r="E426" s="3"/>
      <c r="F426" s="3"/>
      <c r="G426" s="3"/>
      <c r="H426" s="3"/>
      <c r="I426" s="3"/>
      <c r="J426" s="3"/>
      <c r="K426" s="3"/>
    </row>
    <row r="427" spans="1:11" hidden="1" x14ac:dyDescent="0.3">
      <c r="A427" s="3"/>
      <c r="B427" s="3"/>
      <c r="C427" s="3"/>
      <c r="D427" s="3"/>
      <c r="E427" s="3"/>
      <c r="F427" s="3"/>
      <c r="G427" s="3"/>
      <c r="H427" s="3"/>
      <c r="I427" s="3"/>
      <c r="J427" s="3"/>
      <c r="K427" s="3"/>
    </row>
    <row r="428" spans="1:11" hidden="1" x14ac:dyDescent="0.3">
      <c r="A428" s="3"/>
      <c r="B428" s="3"/>
      <c r="C428" s="3"/>
      <c r="D428" s="3"/>
      <c r="E428" s="3"/>
      <c r="F428" s="3"/>
      <c r="G428" s="3"/>
      <c r="H428" s="3"/>
      <c r="I428" s="3"/>
      <c r="J428" s="3"/>
      <c r="K428" s="3"/>
    </row>
    <row r="429" spans="1:11" hidden="1" x14ac:dyDescent="0.3">
      <c r="A429" s="3"/>
      <c r="B429" s="3"/>
      <c r="C429" s="3"/>
      <c r="D429" s="3"/>
      <c r="E429" s="3"/>
      <c r="F429" s="3"/>
      <c r="G429" s="3"/>
      <c r="H429" s="3"/>
      <c r="I429" s="3"/>
      <c r="J429" s="3"/>
      <c r="K429" s="3"/>
    </row>
    <row r="430" spans="1:11" hidden="1" x14ac:dyDescent="0.3">
      <c r="A430" s="3"/>
      <c r="B430" s="3"/>
      <c r="C430" s="3"/>
      <c r="D430" s="3"/>
      <c r="E430" s="3"/>
      <c r="F430" s="3"/>
      <c r="G430" s="3"/>
      <c r="H430" s="3"/>
      <c r="I430" s="3"/>
      <c r="J430" s="3"/>
      <c r="K430" s="3"/>
    </row>
    <row r="431" spans="1:11" hidden="1" x14ac:dyDescent="0.3">
      <c r="A431" s="3"/>
      <c r="B431" s="3"/>
      <c r="C431" s="3"/>
      <c r="D431" s="3"/>
      <c r="E431" s="3"/>
      <c r="F431" s="3"/>
      <c r="G431" s="3"/>
      <c r="H431" s="3"/>
      <c r="I431" s="3"/>
      <c r="J431" s="3"/>
      <c r="K431" s="3"/>
    </row>
    <row r="432" spans="1:11" hidden="1" x14ac:dyDescent="0.3">
      <c r="A432" s="3"/>
      <c r="B432" s="3"/>
      <c r="C432" s="3"/>
      <c r="D432" s="3"/>
      <c r="E432" s="3"/>
      <c r="F432" s="3"/>
      <c r="G432" s="3"/>
      <c r="H432" s="3"/>
      <c r="I432" s="3"/>
      <c r="J432" s="3"/>
      <c r="K432" s="3"/>
    </row>
    <row r="433" spans="1:11" hidden="1" x14ac:dyDescent="0.3">
      <c r="A433" s="3"/>
      <c r="B433" s="3"/>
      <c r="C433" s="3"/>
      <c r="D433" s="3"/>
      <c r="E433" s="3"/>
      <c r="F433" s="3"/>
      <c r="G433" s="3"/>
      <c r="H433" s="3"/>
      <c r="I433" s="3"/>
      <c r="J433" s="3"/>
      <c r="K433" s="3"/>
    </row>
    <row r="434" spans="1:11" hidden="1" x14ac:dyDescent="0.3">
      <c r="A434" s="3"/>
      <c r="B434" s="3"/>
      <c r="C434" s="3"/>
      <c r="D434" s="3"/>
      <c r="E434" s="3"/>
      <c r="F434" s="3"/>
      <c r="G434" s="3"/>
      <c r="H434" s="3"/>
      <c r="I434" s="3"/>
      <c r="J434" s="3"/>
      <c r="K434" s="3"/>
    </row>
    <row r="435" spans="1:11" hidden="1" x14ac:dyDescent="0.3">
      <c r="A435" s="3"/>
      <c r="B435" s="3"/>
      <c r="C435" s="3"/>
      <c r="D435" s="3"/>
      <c r="E435" s="3"/>
      <c r="F435" s="3"/>
      <c r="G435" s="3"/>
      <c r="H435" s="3"/>
      <c r="I435" s="3"/>
      <c r="J435" s="3"/>
      <c r="K435" s="3"/>
    </row>
    <row r="436" spans="1:11" hidden="1" x14ac:dyDescent="0.3">
      <c r="A436" s="3"/>
      <c r="B436" s="3"/>
      <c r="C436" s="3"/>
      <c r="D436" s="3"/>
      <c r="E436" s="3"/>
      <c r="F436" s="3"/>
      <c r="G436" s="3"/>
      <c r="H436" s="3"/>
      <c r="I436" s="3"/>
      <c r="J436" s="3"/>
      <c r="K436" s="3"/>
    </row>
    <row r="437" spans="1:11" hidden="1" x14ac:dyDescent="0.3">
      <c r="A437" s="3"/>
      <c r="B437" s="3"/>
      <c r="C437" s="3"/>
      <c r="D437" s="3"/>
      <c r="E437" s="3"/>
      <c r="F437" s="3"/>
      <c r="G437" s="3"/>
      <c r="H437" s="3"/>
      <c r="I437" s="3"/>
      <c r="J437" s="3"/>
      <c r="K437" s="3"/>
    </row>
    <row r="438" spans="1:11" hidden="1" x14ac:dyDescent="0.3">
      <c r="A438" s="3"/>
      <c r="B438" s="3"/>
      <c r="C438" s="3"/>
      <c r="D438" s="3"/>
      <c r="E438" s="3"/>
      <c r="F438" s="3"/>
      <c r="G438" s="3"/>
      <c r="H438" s="3"/>
      <c r="I438" s="3"/>
      <c r="J438" s="3"/>
      <c r="K438" s="3"/>
    </row>
    <row r="439" spans="1:11" hidden="1" x14ac:dyDescent="0.3">
      <c r="A439" s="3"/>
      <c r="B439" s="3"/>
      <c r="C439" s="3"/>
      <c r="D439" s="3"/>
      <c r="E439" s="3"/>
      <c r="F439" s="3"/>
      <c r="G439" s="3"/>
      <c r="H439" s="3"/>
      <c r="I439" s="3"/>
      <c r="J439" s="3"/>
      <c r="K439" s="3"/>
    </row>
    <row r="440" spans="1:11" hidden="1" x14ac:dyDescent="0.3">
      <c r="A440" s="3"/>
      <c r="B440" s="3"/>
      <c r="C440" s="3"/>
      <c r="D440" s="3"/>
      <c r="E440" s="3"/>
      <c r="F440" s="3"/>
      <c r="G440" s="3"/>
      <c r="H440" s="3"/>
      <c r="I440" s="3"/>
      <c r="J440" s="3"/>
      <c r="K440" s="3"/>
    </row>
    <row r="441" spans="1:11" hidden="1" x14ac:dyDescent="0.3">
      <c r="A441" s="3"/>
      <c r="B441" s="3"/>
      <c r="C441" s="3"/>
      <c r="D441" s="3"/>
      <c r="E441" s="3"/>
      <c r="F441" s="3"/>
      <c r="G441" s="3"/>
      <c r="H441" s="3"/>
      <c r="I441" s="3"/>
      <c r="J441" s="3"/>
      <c r="K441" s="3"/>
    </row>
    <row r="442" spans="1:11" hidden="1" x14ac:dyDescent="0.3">
      <c r="A442" s="3"/>
      <c r="B442" s="3"/>
      <c r="C442" s="3"/>
      <c r="D442" s="3"/>
      <c r="E442" s="3"/>
      <c r="F442" s="3"/>
      <c r="G442" s="3"/>
      <c r="H442" s="3"/>
      <c r="I442" s="3"/>
      <c r="J442" s="3"/>
      <c r="K442" s="3"/>
    </row>
    <row r="443" spans="1:11" hidden="1" x14ac:dyDescent="0.3">
      <c r="A443" s="3"/>
      <c r="B443" s="3"/>
      <c r="C443" s="3"/>
      <c r="D443" s="3"/>
      <c r="E443" s="3"/>
      <c r="F443" s="3"/>
      <c r="G443" s="3"/>
      <c r="H443" s="3"/>
      <c r="I443" s="3"/>
      <c r="J443" s="3"/>
      <c r="K443" s="3"/>
    </row>
    <row r="444" spans="1:11" hidden="1" x14ac:dyDescent="0.3">
      <c r="A444" s="3"/>
      <c r="B444" s="3"/>
      <c r="C444" s="3"/>
      <c r="D444" s="3"/>
      <c r="E444" s="3"/>
      <c r="F444" s="3"/>
      <c r="G444" s="3"/>
      <c r="H444" s="3"/>
      <c r="I444" s="3"/>
      <c r="J444" s="3"/>
      <c r="K444" s="3"/>
    </row>
    <row r="445" spans="1:11" hidden="1" x14ac:dyDescent="0.3">
      <c r="A445" s="3"/>
      <c r="B445" s="3"/>
      <c r="C445" s="3"/>
      <c r="D445" s="3"/>
      <c r="E445" s="3"/>
      <c r="F445" s="3"/>
      <c r="G445" s="3"/>
      <c r="H445" s="3"/>
      <c r="I445" s="3"/>
      <c r="J445" s="3"/>
      <c r="K445" s="3"/>
    </row>
    <row r="446" spans="1:11" hidden="1" x14ac:dyDescent="0.3">
      <c r="A446" s="3"/>
      <c r="B446" s="3"/>
      <c r="C446" s="3"/>
      <c r="D446" s="3"/>
      <c r="E446" s="3"/>
      <c r="F446" s="3"/>
      <c r="G446" s="3"/>
      <c r="H446" s="3"/>
      <c r="I446" s="3"/>
      <c r="J446" s="3"/>
      <c r="K446" s="3"/>
    </row>
    <row r="447" spans="1:11" hidden="1" x14ac:dyDescent="0.3">
      <c r="A447" s="3"/>
      <c r="B447" s="3"/>
      <c r="C447" s="3"/>
      <c r="D447" s="3"/>
      <c r="E447" s="3"/>
      <c r="F447" s="3"/>
      <c r="G447" s="3"/>
      <c r="H447" s="3"/>
      <c r="I447" s="3"/>
      <c r="J447" s="3"/>
      <c r="K447" s="3"/>
    </row>
    <row r="448" spans="1:11" hidden="1" x14ac:dyDescent="0.3">
      <c r="A448" s="3"/>
      <c r="B448" s="3"/>
      <c r="C448" s="3"/>
      <c r="D448" s="3"/>
      <c r="E448" s="3"/>
      <c r="F448" s="3"/>
      <c r="G448" s="3"/>
      <c r="H448" s="3"/>
      <c r="I448" s="3"/>
      <c r="J448" s="3"/>
      <c r="K448" s="3"/>
    </row>
    <row r="449" spans="1:11" hidden="1" x14ac:dyDescent="0.3">
      <c r="A449" s="3"/>
      <c r="B449" s="3"/>
      <c r="C449" s="3"/>
      <c r="D449" s="3"/>
      <c r="E449" s="3"/>
      <c r="F449" s="3"/>
      <c r="G449" s="3"/>
      <c r="H449" s="3"/>
      <c r="I449" s="3"/>
      <c r="J449" s="3"/>
      <c r="K449" s="3"/>
    </row>
    <row r="450" spans="1:11" hidden="1" x14ac:dyDescent="0.3">
      <c r="A450" s="3"/>
      <c r="B450" s="3"/>
      <c r="C450" s="3"/>
      <c r="D450" s="3"/>
      <c r="E450" s="3"/>
      <c r="F450" s="3"/>
      <c r="G450" s="3"/>
      <c r="H450" s="3"/>
      <c r="I450" s="3"/>
      <c r="J450" s="3"/>
      <c r="K450" s="3"/>
    </row>
    <row r="451" spans="1:11" hidden="1" x14ac:dyDescent="0.3">
      <c r="A451" s="3"/>
      <c r="B451" s="3"/>
      <c r="C451" s="3"/>
      <c r="D451" s="3"/>
      <c r="E451" s="3"/>
      <c r="F451" s="3"/>
      <c r="G451" s="3"/>
      <c r="H451" s="3"/>
      <c r="I451" s="3"/>
      <c r="J451" s="3"/>
      <c r="K451" s="3"/>
    </row>
    <row r="452" spans="1:11" hidden="1" x14ac:dyDescent="0.3">
      <c r="A452" s="3"/>
      <c r="B452" s="3"/>
      <c r="C452" s="3"/>
      <c r="D452" s="3"/>
      <c r="E452" s="3"/>
      <c r="F452" s="3"/>
      <c r="G452" s="3"/>
      <c r="H452" s="3"/>
      <c r="I452" s="3"/>
      <c r="J452" s="3"/>
      <c r="K452" s="3"/>
    </row>
    <row r="453" spans="1:11" hidden="1" x14ac:dyDescent="0.3">
      <c r="A453" s="3"/>
      <c r="B453" s="3"/>
      <c r="C453" s="3"/>
      <c r="D453" s="3"/>
      <c r="E453" s="3"/>
      <c r="F453" s="3"/>
      <c r="G453" s="3"/>
      <c r="H453" s="3"/>
      <c r="I453" s="3"/>
      <c r="J453" s="3"/>
      <c r="K453" s="3"/>
    </row>
    <row r="454" spans="1:11" hidden="1" x14ac:dyDescent="0.3">
      <c r="A454" s="3"/>
      <c r="B454" s="3"/>
      <c r="C454" s="3"/>
      <c r="D454" s="3"/>
      <c r="E454" s="3"/>
      <c r="F454" s="3"/>
      <c r="G454" s="3"/>
      <c r="H454" s="3"/>
      <c r="I454" s="3"/>
      <c r="J454" s="3"/>
      <c r="K454" s="3"/>
    </row>
    <row r="455" spans="1:11" hidden="1" x14ac:dyDescent="0.3">
      <c r="A455" s="3"/>
      <c r="B455" s="3"/>
      <c r="C455" s="3"/>
      <c r="D455" s="3"/>
      <c r="E455" s="3"/>
      <c r="F455" s="3"/>
      <c r="G455" s="3"/>
      <c r="H455" s="3"/>
      <c r="I455" s="3"/>
      <c r="J455" s="3"/>
      <c r="K455" s="3"/>
    </row>
    <row r="456" spans="1:11" hidden="1" x14ac:dyDescent="0.3">
      <c r="A456" s="3"/>
      <c r="B456" s="3"/>
      <c r="C456" s="3"/>
      <c r="D456" s="3"/>
      <c r="E456" s="3"/>
      <c r="F456" s="3"/>
      <c r="G456" s="3"/>
      <c r="H456" s="3"/>
      <c r="I456" s="3"/>
      <c r="J456" s="3"/>
      <c r="K456" s="3"/>
    </row>
    <row r="457" spans="1:11" hidden="1" x14ac:dyDescent="0.3">
      <c r="A457" s="3"/>
      <c r="B457" s="3"/>
      <c r="C457" s="3"/>
      <c r="D457" s="3"/>
      <c r="E457" s="3"/>
      <c r="F457" s="3"/>
      <c r="G457" s="3"/>
      <c r="H457" s="3"/>
      <c r="I457" s="3"/>
      <c r="J457" s="3"/>
      <c r="K457" s="3"/>
    </row>
    <row r="458" spans="1:11" hidden="1" x14ac:dyDescent="0.3">
      <c r="A458" s="3"/>
      <c r="B458" s="3"/>
      <c r="C458" s="3"/>
      <c r="D458" s="3"/>
      <c r="E458" s="3"/>
      <c r="F458" s="3"/>
      <c r="G458" s="3"/>
      <c r="H458" s="3"/>
      <c r="I458" s="3"/>
      <c r="J458" s="3"/>
      <c r="K458" s="3"/>
    </row>
    <row r="459" spans="1:11" hidden="1" x14ac:dyDescent="0.3">
      <c r="A459" s="3"/>
      <c r="B459" s="3"/>
      <c r="C459" s="3"/>
      <c r="D459" s="3"/>
      <c r="E459" s="3"/>
      <c r="F459" s="3"/>
      <c r="G459" s="3"/>
      <c r="H459" s="3"/>
      <c r="I459" s="3"/>
      <c r="J459" s="3"/>
      <c r="K459" s="3"/>
    </row>
    <row r="460" spans="1:11" hidden="1" x14ac:dyDescent="0.3">
      <c r="A460" s="3"/>
      <c r="B460" s="3"/>
      <c r="C460" s="3"/>
      <c r="D460" s="3"/>
      <c r="E460" s="3"/>
      <c r="F460" s="3"/>
      <c r="G460" s="3"/>
      <c r="H460" s="3"/>
      <c r="I460" s="3"/>
      <c r="J460" s="3"/>
      <c r="K460" s="3"/>
    </row>
    <row r="461" spans="1:11" hidden="1" x14ac:dyDescent="0.3">
      <c r="A461" s="3"/>
      <c r="B461" s="3"/>
      <c r="C461" s="3"/>
      <c r="D461" s="3"/>
      <c r="E461" s="3"/>
      <c r="F461" s="3"/>
      <c r="G461" s="3"/>
      <c r="H461" s="3"/>
      <c r="I461" s="3"/>
      <c r="J461" s="3"/>
      <c r="K461" s="3"/>
    </row>
    <row r="462" spans="1:11" hidden="1" x14ac:dyDescent="0.3">
      <c r="A462" s="3"/>
      <c r="B462" s="3"/>
      <c r="C462" s="3"/>
      <c r="D462" s="3"/>
      <c r="E462" s="3"/>
      <c r="F462" s="3"/>
      <c r="G462" s="3"/>
      <c r="H462" s="3"/>
      <c r="I462" s="3"/>
      <c r="J462" s="3"/>
      <c r="K462" s="3"/>
    </row>
    <row r="463" spans="1:11" hidden="1" x14ac:dyDescent="0.3">
      <c r="A463" s="3"/>
      <c r="B463" s="3"/>
      <c r="C463" s="3"/>
      <c r="D463" s="3"/>
      <c r="E463" s="3"/>
      <c r="F463" s="3"/>
      <c r="G463" s="3"/>
      <c r="H463" s="3"/>
      <c r="I463" s="3"/>
      <c r="J463" s="3"/>
      <c r="K463" s="3"/>
    </row>
    <row r="464" spans="1:11" hidden="1" x14ac:dyDescent="0.3">
      <c r="A464" s="3"/>
      <c r="B464" s="3"/>
      <c r="C464" s="3"/>
      <c r="D464" s="3"/>
      <c r="E464" s="3"/>
      <c r="F464" s="3"/>
      <c r="G464" s="3"/>
      <c r="H464" s="3"/>
      <c r="I464" s="3"/>
      <c r="J464" s="3"/>
      <c r="K464" s="3"/>
    </row>
    <row r="465" spans="1:11" hidden="1" x14ac:dyDescent="0.3">
      <c r="A465" s="3"/>
      <c r="B465" s="3"/>
      <c r="C465" s="3"/>
      <c r="D465" s="3"/>
      <c r="E465" s="3"/>
      <c r="F465" s="3"/>
      <c r="G465" s="3"/>
      <c r="H465" s="3"/>
      <c r="I465" s="3"/>
      <c r="J465" s="3"/>
      <c r="K465" s="3"/>
    </row>
    <row r="466" spans="1:11" hidden="1" x14ac:dyDescent="0.3">
      <c r="A466" s="3"/>
      <c r="B466" s="3"/>
      <c r="C466" s="3"/>
      <c r="D466" s="3"/>
      <c r="E466" s="3"/>
      <c r="F466" s="3"/>
      <c r="G466" s="3"/>
      <c r="H466" s="3"/>
      <c r="I466" s="3"/>
      <c r="J466" s="3"/>
      <c r="K466" s="3"/>
    </row>
    <row r="467" spans="1:11" hidden="1" x14ac:dyDescent="0.3">
      <c r="A467" s="3"/>
      <c r="B467" s="3"/>
      <c r="C467" s="3"/>
      <c r="D467" s="3"/>
      <c r="E467" s="3"/>
      <c r="F467" s="3"/>
      <c r="G467" s="3"/>
      <c r="H467" s="3"/>
      <c r="I467" s="3"/>
      <c r="J467" s="3"/>
      <c r="K467" s="3"/>
    </row>
    <row r="468" spans="1:11" hidden="1" x14ac:dyDescent="0.3">
      <c r="A468" s="3"/>
      <c r="B468" s="3"/>
      <c r="C468" s="3"/>
      <c r="D468" s="3"/>
      <c r="E468" s="3"/>
      <c r="F468" s="3"/>
      <c r="G468" s="3"/>
      <c r="H468" s="3"/>
      <c r="I468" s="3"/>
      <c r="J468" s="3"/>
      <c r="K468" s="3"/>
    </row>
    <row r="469" spans="1:11" hidden="1" x14ac:dyDescent="0.3">
      <c r="A469" s="3"/>
      <c r="B469" s="3"/>
      <c r="C469" s="3"/>
      <c r="D469" s="3"/>
      <c r="E469" s="3"/>
      <c r="F469" s="3"/>
      <c r="G469" s="3"/>
      <c r="H469" s="3"/>
      <c r="I469" s="3"/>
      <c r="J469" s="3"/>
      <c r="K469" s="3"/>
    </row>
    <row r="470" spans="1:11" hidden="1" x14ac:dyDescent="0.3">
      <c r="A470" s="3"/>
      <c r="B470" s="3"/>
      <c r="C470" s="3"/>
      <c r="D470" s="3"/>
      <c r="E470" s="3"/>
      <c r="F470" s="3"/>
      <c r="G470" s="3"/>
      <c r="H470" s="3"/>
      <c r="I470" s="3"/>
      <c r="J470" s="3"/>
      <c r="K470" s="3"/>
    </row>
    <row r="471" spans="1:11" hidden="1" x14ac:dyDescent="0.3">
      <c r="A471" s="3"/>
      <c r="B471" s="3"/>
      <c r="C471" s="3"/>
      <c r="D471" s="3"/>
      <c r="E471" s="3"/>
      <c r="F471" s="3"/>
      <c r="G471" s="3"/>
      <c r="H471" s="3"/>
      <c r="I471" s="3"/>
      <c r="J471" s="3"/>
      <c r="K471" s="3"/>
    </row>
    <row r="472" spans="1:11" hidden="1" x14ac:dyDescent="0.3">
      <c r="A472" s="3"/>
      <c r="B472" s="3"/>
      <c r="C472" s="3"/>
      <c r="D472" s="3"/>
      <c r="E472" s="3"/>
      <c r="F472" s="3"/>
      <c r="G472" s="3"/>
      <c r="H472" s="3"/>
      <c r="I472" s="3"/>
      <c r="J472" s="3"/>
      <c r="K472" s="3"/>
    </row>
    <row r="473" spans="1:11" hidden="1" x14ac:dyDescent="0.3">
      <c r="A473" s="3"/>
      <c r="B473" s="3"/>
      <c r="C473" s="3"/>
      <c r="D473" s="3"/>
      <c r="E473" s="3"/>
      <c r="F473" s="3"/>
      <c r="G473" s="3"/>
      <c r="H473" s="3"/>
      <c r="I473" s="3"/>
      <c r="J473" s="3"/>
      <c r="K473" s="3"/>
    </row>
    <row r="474" spans="1:11" hidden="1" x14ac:dyDescent="0.3">
      <c r="A474" s="3"/>
      <c r="B474" s="3"/>
      <c r="C474" s="3"/>
      <c r="D474" s="3"/>
      <c r="E474" s="3"/>
      <c r="F474" s="3"/>
      <c r="G474" s="3"/>
      <c r="H474" s="3"/>
      <c r="I474" s="3"/>
      <c r="J474" s="3"/>
      <c r="K474" s="3"/>
    </row>
    <row r="475" spans="1:11" hidden="1" x14ac:dyDescent="0.3">
      <c r="A475" s="3"/>
      <c r="B475" s="3"/>
      <c r="C475" s="3"/>
      <c r="D475" s="3"/>
      <c r="E475" s="3"/>
      <c r="F475" s="3"/>
      <c r="G475" s="3"/>
      <c r="H475" s="3"/>
      <c r="I475" s="3"/>
      <c r="J475" s="3"/>
      <c r="K475" s="3"/>
    </row>
    <row r="476" spans="1:11" hidden="1" x14ac:dyDescent="0.3">
      <c r="A476" s="3"/>
      <c r="B476" s="3"/>
      <c r="C476" s="3"/>
      <c r="D476" s="3"/>
      <c r="E476" s="3"/>
      <c r="F476" s="3"/>
      <c r="G476" s="3"/>
      <c r="H476" s="3"/>
      <c r="I476" s="3"/>
      <c r="J476" s="3"/>
      <c r="K476" s="3"/>
    </row>
    <row r="477" spans="1:11" hidden="1" x14ac:dyDescent="0.3">
      <c r="A477" s="3"/>
      <c r="B477" s="3"/>
      <c r="C477" s="3"/>
      <c r="D477" s="3"/>
      <c r="E477" s="3"/>
      <c r="F477" s="3"/>
      <c r="G477" s="3"/>
      <c r="H477" s="3"/>
      <c r="I477" s="3"/>
      <c r="J477" s="3"/>
      <c r="K477" s="3"/>
    </row>
    <row r="478" spans="1:11" hidden="1" x14ac:dyDescent="0.3">
      <c r="A478" s="3"/>
      <c r="B478" s="3"/>
      <c r="C478" s="3"/>
      <c r="D478" s="3"/>
      <c r="E478" s="3"/>
      <c r="F478" s="3"/>
      <c r="G478" s="3"/>
      <c r="H478" s="3"/>
      <c r="I478" s="3"/>
      <c r="J478" s="3"/>
      <c r="K478" s="3"/>
    </row>
    <row r="479" spans="1:11" hidden="1" x14ac:dyDescent="0.3">
      <c r="A479" s="3"/>
      <c r="B479" s="3"/>
      <c r="C479" s="3"/>
      <c r="D479" s="3"/>
      <c r="E479" s="3"/>
      <c r="F479" s="3"/>
      <c r="G479" s="3"/>
      <c r="H479" s="3"/>
      <c r="I479" s="3"/>
      <c r="J479" s="3"/>
      <c r="K479" s="3"/>
    </row>
    <row r="480" spans="1:11" hidden="1" x14ac:dyDescent="0.3">
      <c r="A480" s="3"/>
      <c r="B480" s="3"/>
      <c r="C480" s="3"/>
      <c r="D480" s="3"/>
      <c r="E480" s="3"/>
      <c r="F480" s="3"/>
      <c r="G480" s="3"/>
      <c r="H480" s="3"/>
      <c r="I480" s="3"/>
      <c r="J480" s="3"/>
      <c r="K480" s="3"/>
    </row>
    <row r="481" spans="1:11" hidden="1" x14ac:dyDescent="0.3">
      <c r="A481" s="3"/>
      <c r="B481" s="3"/>
      <c r="C481" s="3"/>
      <c r="D481" s="3"/>
      <c r="E481" s="3"/>
      <c r="F481" s="3"/>
      <c r="G481" s="3"/>
      <c r="H481" s="3"/>
      <c r="I481" s="3"/>
      <c r="J481" s="3"/>
      <c r="K481" s="3"/>
    </row>
    <row r="482" spans="1:11" hidden="1" x14ac:dyDescent="0.3">
      <c r="A482" s="3"/>
      <c r="B482" s="3"/>
      <c r="C482" s="3"/>
      <c r="D482" s="3"/>
      <c r="E482" s="3"/>
      <c r="F482" s="3"/>
      <c r="G482" s="3"/>
      <c r="H482" s="3"/>
      <c r="I482" s="3"/>
      <c r="J482" s="3"/>
      <c r="K482" s="3"/>
    </row>
    <row r="483" spans="1:11" hidden="1" x14ac:dyDescent="0.3">
      <c r="A483" s="3"/>
      <c r="B483" s="3"/>
      <c r="C483" s="3"/>
      <c r="D483" s="3"/>
      <c r="E483" s="3"/>
      <c r="F483" s="3"/>
      <c r="G483" s="3"/>
      <c r="H483" s="3"/>
      <c r="I483" s="3"/>
      <c r="J483" s="3"/>
      <c r="K483" s="3"/>
    </row>
    <row r="484" spans="1:11" hidden="1" x14ac:dyDescent="0.3">
      <c r="A484" s="3"/>
      <c r="B484" s="3"/>
      <c r="C484" s="3"/>
      <c r="D484" s="3"/>
      <c r="E484" s="3"/>
      <c r="F484" s="3"/>
      <c r="G484" s="3"/>
      <c r="H484" s="3"/>
      <c r="I484" s="3"/>
      <c r="J484" s="3"/>
      <c r="K484" s="3"/>
    </row>
    <row r="485" spans="1:11" hidden="1" x14ac:dyDescent="0.3">
      <c r="A485" s="3"/>
      <c r="B485" s="3"/>
      <c r="C485" s="3"/>
      <c r="D485" s="3"/>
      <c r="E485" s="3"/>
      <c r="F485" s="3"/>
      <c r="G485" s="3"/>
      <c r="H485" s="3"/>
      <c r="I485" s="3"/>
      <c r="J485" s="3"/>
      <c r="K485" s="3"/>
    </row>
    <row r="486" spans="1:11" hidden="1" x14ac:dyDescent="0.3">
      <c r="A486" s="3"/>
      <c r="B486" s="3"/>
      <c r="C486" s="3"/>
      <c r="D486" s="3"/>
      <c r="E486" s="3"/>
      <c r="F486" s="3"/>
      <c r="G486" s="3"/>
      <c r="H486" s="3"/>
      <c r="I486" s="3"/>
      <c r="J486" s="3"/>
      <c r="K486" s="3"/>
    </row>
    <row r="487" spans="1:11" hidden="1" x14ac:dyDescent="0.3">
      <c r="A487" s="3"/>
      <c r="B487" s="3"/>
      <c r="C487" s="3"/>
      <c r="D487" s="3"/>
      <c r="E487" s="3"/>
      <c r="F487" s="3"/>
      <c r="G487" s="3"/>
      <c r="H487" s="3"/>
      <c r="I487" s="3"/>
      <c r="J487" s="3"/>
      <c r="K487" s="3"/>
    </row>
    <row r="488" spans="1:11" hidden="1" x14ac:dyDescent="0.3">
      <c r="A488" s="3"/>
      <c r="B488" s="3"/>
      <c r="C488" s="3"/>
      <c r="D488" s="3"/>
      <c r="E488" s="3"/>
      <c r="F488" s="3"/>
      <c r="G488" s="3"/>
      <c r="H488" s="3"/>
      <c r="I488" s="3"/>
      <c r="J488" s="3"/>
      <c r="K488" s="3"/>
    </row>
    <row r="489" spans="1:11" hidden="1" x14ac:dyDescent="0.3">
      <c r="A489" s="3"/>
      <c r="B489" s="3"/>
      <c r="C489" s="3"/>
      <c r="D489" s="3"/>
      <c r="E489" s="3"/>
      <c r="F489" s="3"/>
      <c r="G489" s="3"/>
      <c r="H489" s="3"/>
      <c r="I489" s="3"/>
      <c r="J489" s="3"/>
      <c r="K489" s="3"/>
    </row>
    <row r="490" spans="1:11" hidden="1" x14ac:dyDescent="0.3">
      <c r="A490" s="3"/>
      <c r="B490" s="3"/>
      <c r="C490" s="3"/>
      <c r="D490" s="3"/>
      <c r="E490" s="3"/>
      <c r="F490" s="3"/>
      <c r="G490" s="3"/>
      <c r="H490" s="3"/>
      <c r="I490" s="3"/>
      <c r="J490" s="3"/>
      <c r="K490" s="3"/>
    </row>
    <row r="491" spans="1:11" hidden="1" x14ac:dyDescent="0.3">
      <c r="A491" s="3"/>
      <c r="B491" s="3"/>
      <c r="C491" s="3"/>
      <c r="D491" s="3"/>
      <c r="E491" s="3"/>
      <c r="F491" s="3"/>
      <c r="G491" s="3"/>
      <c r="H491" s="3"/>
      <c r="I491" s="3"/>
      <c r="J491" s="3"/>
      <c r="K491" s="3"/>
    </row>
    <row r="492" spans="1:11" hidden="1" x14ac:dyDescent="0.3">
      <c r="A492" s="3"/>
      <c r="B492" s="3"/>
      <c r="C492" s="3"/>
      <c r="D492" s="3"/>
      <c r="E492" s="3"/>
      <c r="F492" s="3"/>
      <c r="G492" s="3"/>
      <c r="H492" s="3"/>
      <c r="I492" s="3"/>
      <c r="J492" s="3"/>
      <c r="K492" s="3"/>
    </row>
    <row r="493" spans="1:11" hidden="1" x14ac:dyDescent="0.3">
      <c r="A493" s="3"/>
      <c r="B493" s="3"/>
      <c r="C493" s="3"/>
      <c r="D493" s="3"/>
      <c r="E493" s="3"/>
      <c r="F493" s="3"/>
      <c r="G493" s="3"/>
      <c r="H493" s="3"/>
      <c r="I493" s="3"/>
      <c r="J493" s="3"/>
      <c r="K493" s="3"/>
    </row>
    <row r="494" spans="1:11" hidden="1" x14ac:dyDescent="0.3">
      <c r="A494" s="3"/>
      <c r="B494" s="3"/>
      <c r="C494" s="3"/>
      <c r="D494" s="3"/>
      <c r="E494" s="3"/>
      <c r="F494" s="3"/>
      <c r="G494" s="3"/>
      <c r="H494" s="3"/>
      <c r="I494" s="3"/>
      <c r="J494" s="3"/>
      <c r="K494" s="3"/>
    </row>
    <row r="495" spans="1:11" hidden="1" x14ac:dyDescent="0.3">
      <c r="A495" s="3"/>
      <c r="B495" s="3"/>
      <c r="C495" s="3"/>
      <c r="D495" s="3"/>
      <c r="E495" s="3"/>
      <c r="F495" s="3"/>
      <c r="G495" s="3"/>
      <c r="H495" s="3"/>
      <c r="I495" s="3"/>
      <c r="J495" s="3"/>
      <c r="K495" s="3"/>
    </row>
    <row r="496" spans="1:11" hidden="1" x14ac:dyDescent="0.3">
      <c r="A496" s="3"/>
      <c r="B496" s="3"/>
      <c r="C496" s="3"/>
      <c r="D496" s="3"/>
      <c r="E496" s="3"/>
      <c r="F496" s="3"/>
      <c r="G496" s="3"/>
      <c r="H496" s="3"/>
      <c r="I496" s="3"/>
      <c r="J496" s="3"/>
      <c r="K496" s="3"/>
    </row>
    <row r="497" spans="1:11" hidden="1" x14ac:dyDescent="0.3">
      <c r="A497" s="3"/>
      <c r="B497" s="3"/>
      <c r="C497" s="3"/>
      <c r="D497" s="3"/>
      <c r="E497" s="3"/>
      <c r="F497" s="3"/>
      <c r="G497" s="3"/>
      <c r="H497" s="3"/>
      <c r="I497" s="3"/>
      <c r="J497" s="3"/>
      <c r="K497" s="3"/>
    </row>
    <row r="498" spans="1:11" hidden="1" x14ac:dyDescent="0.3">
      <c r="A498" s="3"/>
      <c r="B498" s="3"/>
      <c r="C498" s="3"/>
      <c r="D498" s="3"/>
      <c r="E498" s="3"/>
      <c r="F498" s="3"/>
      <c r="G498" s="3"/>
      <c r="H498" s="3"/>
      <c r="I498" s="3"/>
      <c r="J498" s="3"/>
      <c r="K498" s="3"/>
    </row>
    <row r="499" spans="1:11" hidden="1" x14ac:dyDescent="0.3">
      <c r="A499" s="3"/>
      <c r="B499" s="3"/>
      <c r="C499" s="3"/>
      <c r="D499" s="3"/>
      <c r="E499" s="3"/>
      <c r="F499" s="3"/>
      <c r="G499" s="3"/>
      <c r="H499" s="3"/>
      <c r="I499" s="3"/>
      <c r="J499" s="3"/>
      <c r="K499" s="3"/>
    </row>
    <row r="500" spans="1:11" hidden="1" x14ac:dyDescent="0.3">
      <c r="A500" s="3"/>
      <c r="B500" s="3"/>
      <c r="C500" s="3"/>
      <c r="D500" s="3"/>
      <c r="E500" s="3"/>
      <c r="F500" s="3"/>
      <c r="G500" s="3"/>
      <c r="H500" s="3"/>
      <c r="I500" s="3"/>
      <c r="J500" s="3"/>
      <c r="K500" s="3"/>
    </row>
    <row r="501" spans="1:11" hidden="1" x14ac:dyDescent="0.3">
      <c r="A501" s="3"/>
      <c r="B501" s="3"/>
      <c r="C501" s="3"/>
      <c r="D501" s="3"/>
      <c r="E501" s="3"/>
      <c r="F501" s="3"/>
      <c r="G501" s="3"/>
      <c r="H501" s="3"/>
      <c r="I501" s="3"/>
      <c r="J501" s="3"/>
      <c r="K501" s="3"/>
    </row>
    <row r="502" spans="1:11" hidden="1" x14ac:dyDescent="0.3">
      <c r="A502" s="3"/>
      <c r="B502" s="3"/>
      <c r="C502" s="3"/>
      <c r="D502" s="3"/>
      <c r="E502" s="3"/>
      <c r="F502" s="3"/>
      <c r="G502" s="3"/>
      <c r="H502" s="3"/>
      <c r="I502" s="3"/>
      <c r="J502" s="3"/>
      <c r="K502" s="3"/>
    </row>
    <row r="503" spans="1:11" hidden="1" x14ac:dyDescent="0.3">
      <c r="A503" s="3"/>
      <c r="B503" s="3"/>
      <c r="C503" s="3"/>
      <c r="D503" s="3"/>
      <c r="E503" s="3"/>
      <c r="F503" s="3"/>
      <c r="G503" s="3"/>
      <c r="H503" s="3"/>
      <c r="I503" s="3"/>
      <c r="J503" s="3"/>
      <c r="K503" s="3"/>
    </row>
    <row r="504" spans="1:11" hidden="1" x14ac:dyDescent="0.3">
      <c r="A504" s="3"/>
      <c r="B504" s="3"/>
      <c r="C504" s="3"/>
      <c r="D504" s="3"/>
      <c r="E504" s="3"/>
      <c r="F504" s="3"/>
      <c r="G504" s="3"/>
      <c r="H504" s="3"/>
      <c r="I504" s="3"/>
      <c r="J504" s="3"/>
      <c r="K504" s="3"/>
    </row>
    <row r="505" spans="1:11" hidden="1" x14ac:dyDescent="0.3">
      <c r="A505" s="3"/>
      <c r="B505" s="3"/>
      <c r="C505" s="3"/>
      <c r="D505" s="3"/>
      <c r="E505" s="3"/>
      <c r="F505" s="3"/>
      <c r="G505" s="3"/>
      <c r="H505" s="3"/>
      <c r="I505" s="3"/>
      <c r="J505" s="3"/>
      <c r="K505" s="3"/>
    </row>
    <row r="506" spans="1:11" hidden="1" x14ac:dyDescent="0.3">
      <c r="A506" s="3"/>
      <c r="B506" s="3"/>
      <c r="C506" s="3"/>
      <c r="D506" s="3"/>
      <c r="E506" s="3"/>
      <c r="F506" s="3"/>
      <c r="G506" s="3"/>
      <c r="H506" s="3"/>
      <c r="I506" s="3"/>
      <c r="J506" s="3"/>
      <c r="K506" s="3"/>
    </row>
    <row r="507" spans="1:11" hidden="1" x14ac:dyDescent="0.3">
      <c r="A507" s="3"/>
      <c r="B507" s="3"/>
      <c r="C507" s="3"/>
      <c r="D507" s="3"/>
      <c r="E507" s="3"/>
      <c r="F507" s="3"/>
      <c r="G507" s="3"/>
      <c r="H507" s="3"/>
      <c r="I507" s="3"/>
      <c r="J507" s="3"/>
      <c r="K507" s="3"/>
    </row>
    <row r="508" spans="1:11" hidden="1" x14ac:dyDescent="0.3">
      <c r="A508" s="3"/>
      <c r="B508" s="3"/>
      <c r="C508" s="3"/>
      <c r="D508" s="3"/>
      <c r="E508" s="3"/>
      <c r="F508" s="3"/>
      <c r="G508" s="3"/>
      <c r="H508" s="3"/>
      <c r="I508" s="3"/>
      <c r="J508" s="3"/>
      <c r="K508" s="3"/>
    </row>
    <row r="509" spans="1:11" hidden="1" x14ac:dyDescent="0.3">
      <c r="A509" s="3"/>
      <c r="B509" s="3"/>
      <c r="C509" s="3"/>
      <c r="D509" s="3"/>
      <c r="E509" s="3"/>
      <c r="F509" s="3"/>
      <c r="G509" s="3"/>
      <c r="H509" s="3"/>
      <c r="I509" s="3"/>
      <c r="J509" s="3"/>
      <c r="K509" s="3"/>
    </row>
    <row r="510" spans="1:11" hidden="1" x14ac:dyDescent="0.3">
      <c r="A510" s="3"/>
      <c r="B510" s="3"/>
      <c r="C510" s="3"/>
      <c r="D510" s="3"/>
      <c r="E510" s="3"/>
      <c r="F510" s="3"/>
      <c r="G510" s="3"/>
      <c r="H510" s="3"/>
      <c r="I510" s="3"/>
      <c r="J510" s="3"/>
      <c r="K510" s="3"/>
    </row>
    <row r="511" spans="1:11" hidden="1" x14ac:dyDescent="0.3">
      <c r="A511" s="3"/>
      <c r="B511" s="3"/>
      <c r="C511" s="3"/>
      <c r="D511" s="3"/>
      <c r="E511" s="3"/>
      <c r="F511" s="3"/>
      <c r="G511" s="3"/>
      <c r="H511" s="3"/>
      <c r="I511" s="3"/>
      <c r="J511" s="3"/>
      <c r="K511" s="3"/>
    </row>
    <row r="512" spans="1:11" hidden="1" x14ac:dyDescent="0.3">
      <c r="A512" s="3"/>
      <c r="B512" s="3"/>
      <c r="C512" s="3"/>
      <c r="D512" s="3"/>
      <c r="E512" s="3"/>
      <c r="F512" s="3"/>
      <c r="G512" s="3"/>
      <c r="H512" s="3"/>
      <c r="I512" s="3"/>
      <c r="J512" s="3"/>
      <c r="K512" s="3"/>
    </row>
    <row r="513" spans="1:11" hidden="1" x14ac:dyDescent="0.3">
      <c r="A513" s="3"/>
      <c r="B513" s="3"/>
      <c r="C513" s="3"/>
      <c r="D513" s="3"/>
      <c r="E513" s="3"/>
      <c r="F513" s="3"/>
      <c r="G513" s="3"/>
      <c r="H513" s="3"/>
      <c r="I513" s="3"/>
      <c r="J513" s="3"/>
      <c r="K513" s="3"/>
    </row>
    <row r="514" spans="1:11" hidden="1" x14ac:dyDescent="0.3">
      <c r="A514" s="3"/>
      <c r="B514" s="3"/>
      <c r="C514" s="3"/>
      <c r="D514" s="3"/>
      <c r="E514" s="3"/>
      <c r="F514" s="3"/>
      <c r="G514" s="3"/>
      <c r="H514" s="3"/>
      <c r="I514" s="3"/>
      <c r="J514" s="3"/>
      <c r="K514" s="3"/>
    </row>
    <row r="515" spans="1:11" hidden="1" x14ac:dyDescent="0.3">
      <c r="A515" s="3"/>
      <c r="B515" s="3"/>
      <c r="C515" s="3"/>
      <c r="D515" s="3"/>
      <c r="E515" s="3"/>
      <c r="F515" s="3"/>
      <c r="G515" s="3"/>
      <c r="H515" s="3"/>
      <c r="I515" s="3"/>
      <c r="J515" s="3"/>
      <c r="K515" s="3"/>
    </row>
    <row r="516" spans="1:11" hidden="1" x14ac:dyDescent="0.3">
      <c r="A516" s="3"/>
      <c r="B516" s="3"/>
      <c r="C516" s="3"/>
      <c r="D516" s="3"/>
      <c r="E516" s="3"/>
      <c r="F516" s="3"/>
      <c r="G516" s="3"/>
      <c r="H516" s="3"/>
      <c r="I516" s="3"/>
      <c r="J516" s="3"/>
      <c r="K516" s="3"/>
    </row>
    <row r="517" spans="1:11" hidden="1" x14ac:dyDescent="0.3">
      <c r="A517" s="3"/>
      <c r="B517" s="3"/>
      <c r="C517" s="3"/>
      <c r="D517" s="3"/>
      <c r="E517" s="3"/>
      <c r="F517" s="3"/>
      <c r="G517" s="3"/>
      <c r="H517" s="3"/>
      <c r="I517" s="3"/>
      <c r="J517" s="3"/>
      <c r="K517" s="3"/>
    </row>
    <row r="518" spans="1:11" hidden="1" x14ac:dyDescent="0.3">
      <c r="A518" s="3"/>
      <c r="B518" s="3"/>
      <c r="C518" s="3"/>
      <c r="D518" s="3"/>
      <c r="E518" s="3"/>
      <c r="F518" s="3"/>
      <c r="G518" s="3"/>
      <c r="H518" s="3"/>
      <c r="I518" s="3"/>
      <c r="J518" s="3"/>
      <c r="K518" s="3"/>
    </row>
    <row r="519" spans="1:11" hidden="1" x14ac:dyDescent="0.3">
      <c r="A519" s="3"/>
      <c r="B519" s="3"/>
      <c r="C519" s="3"/>
      <c r="D519" s="3"/>
      <c r="E519" s="3"/>
      <c r="F519" s="3"/>
      <c r="G519" s="3"/>
      <c r="H519" s="3"/>
      <c r="I519" s="3"/>
      <c r="J519" s="3"/>
      <c r="K519" s="3"/>
    </row>
    <row r="520" spans="1:11" hidden="1" x14ac:dyDescent="0.3">
      <c r="A520" s="3"/>
      <c r="B520" s="3"/>
      <c r="C520" s="3"/>
      <c r="D520" s="3"/>
      <c r="E520" s="3"/>
      <c r="F520" s="3"/>
      <c r="G520" s="3"/>
      <c r="H520" s="3"/>
      <c r="I520" s="3"/>
      <c r="J520" s="3"/>
      <c r="K520" s="3"/>
    </row>
    <row r="521" spans="1:11" hidden="1" x14ac:dyDescent="0.3">
      <c r="A521" s="3"/>
      <c r="B521" s="3"/>
      <c r="C521" s="3"/>
      <c r="D521" s="3"/>
      <c r="E521" s="3"/>
      <c r="F521" s="3"/>
      <c r="G521" s="3"/>
      <c r="H521" s="3"/>
      <c r="I521" s="3"/>
      <c r="J521" s="3"/>
      <c r="K521" s="3"/>
    </row>
    <row r="522" spans="1:11" hidden="1" x14ac:dyDescent="0.3">
      <c r="A522" s="3"/>
      <c r="B522" s="3"/>
      <c r="C522" s="3"/>
      <c r="D522" s="3"/>
      <c r="E522" s="3"/>
      <c r="F522" s="3"/>
      <c r="G522" s="3"/>
      <c r="H522" s="3"/>
      <c r="I522" s="3"/>
      <c r="J522" s="3"/>
      <c r="K522" s="3"/>
    </row>
    <row r="523" spans="1:11" hidden="1" x14ac:dyDescent="0.3">
      <c r="A523" s="3"/>
      <c r="B523" s="3"/>
      <c r="C523" s="3"/>
      <c r="D523" s="3"/>
      <c r="E523" s="3"/>
      <c r="F523" s="3"/>
      <c r="G523" s="3"/>
      <c r="H523" s="3"/>
      <c r="I523" s="3"/>
      <c r="J523" s="3"/>
      <c r="K523" s="3"/>
    </row>
    <row r="524" spans="1:11" hidden="1" x14ac:dyDescent="0.3">
      <c r="A524" s="3"/>
      <c r="B524" s="3"/>
      <c r="C524" s="3"/>
      <c r="D524" s="3"/>
      <c r="E524" s="3"/>
      <c r="F524" s="3"/>
      <c r="G524" s="3"/>
      <c r="H524" s="3"/>
      <c r="I524" s="3"/>
      <c r="J524" s="3"/>
      <c r="K524" s="3"/>
    </row>
    <row r="525" spans="1:11" hidden="1" x14ac:dyDescent="0.3">
      <c r="A525" s="3"/>
      <c r="B525" s="3"/>
      <c r="C525" s="3"/>
      <c r="D525" s="3"/>
      <c r="E525" s="3"/>
      <c r="F525" s="3"/>
      <c r="G525" s="3"/>
      <c r="H525" s="3"/>
      <c r="I525" s="3"/>
      <c r="J525" s="3"/>
      <c r="K525" s="3"/>
    </row>
    <row r="526" spans="1:11" hidden="1" x14ac:dyDescent="0.3">
      <c r="A526" s="3"/>
      <c r="B526" s="3"/>
      <c r="C526" s="3"/>
      <c r="D526" s="3"/>
      <c r="E526" s="3"/>
      <c r="F526" s="3"/>
      <c r="G526" s="3"/>
      <c r="H526" s="3"/>
      <c r="I526" s="3"/>
      <c r="J526" s="3"/>
      <c r="K526" s="3"/>
    </row>
    <row r="527" spans="1:11" hidden="1" x14ac:dyDescent="0.3">
      <c r="A527" s="3"/>
      <c r="B527" s="3"/>
      <c r="C527" s="3"/>
      <c r="D527" s="3"/>
      <c r="E527" s="3"/>
      <c r="F527" s="3"/>
      <c r="G527" s="3"/>
      <c r="H527" s="3"/>
      <c r="I527" s="3"/>
      <c r="J527" s="3"/>
      <c r="K527" s="3"/>
    </row>
    <row r="528" spans="1:11" hidden="1" x14ac:dyDescent="0.3">
      <c r="A528" s="3"/>
      <c r="B528" s="3"/>
      <c r="C528" s="3"/>
      <c r="D528" s="3"/>
      <c r="E528" s="3"/>
      <c r="F528" s="3"/>
      <c r="G528" s="3"/>
      <c r="H528" s="3"/>
      <c r="I528" s="3"/>
      <c r="J528" s="3"/>
      <c r="K528" s="3"/>
    </row>
    <row r="529" spans="1:11" hidden="1" x14ac:dyDescent="0.3">
      <c r="A529" s="3"/>
      <c r="B529" s="3"/>
      <c r="C529" s="3"/>
      <c r="D529" s="3"/>
      <c r="E529" s="3"/>
      <c r="F529" s="3"/>
      <c r="G529" s="3"/>
      <c r="H529" s="3"/>
      <c r="I529" s="3"/>
      <c r="J529" s="3"/>
      <c r="K529" s="3"/>
    </row>
    <row r="530" spans="1:11" hidden="1" x14ac:dyDescent="0.3">
      <c r="A530" s="3"/>
      <c r="B530" s="3"/>
      <c r="C530" s="3"/>
      <c r="D530" s="3"/>
      <c r="E530" s="3"/>
      <c r="F530" s="3"/>
      <c r="G530" s="3"/>
      <c r="H530" s="3"/>
      <c r="I530" s="3"/>
      <c r="J530" s="3"/>
      <c r="K530" s="3"/>
    </row>
    <row r="531" spans="1:11" hidden="1" x14ac:dyDescent="0.3">
      <c r="A531" s="3"/>
      <c r="B531" s="3"/>
      <c r="C531" s="3"/>
      <c r="D531" s="3"/>
      <c r="E531" s="3"/>
      <c r="F531" s="3"/>
      <c r="G531" s="3"/>
      <c r="H531" s="3"/>
      <c r="I531" s="3"/>
      <c r="J531" s="3"/>
      <c r="K531" s="3"/>
    </row>
    <row r="532" spans="1:11" hidden="1" x14ac:dyDescent="0.3">
      <c r="A532" s="3"/>
      <c r="B532" s="3"/>
      <c r="C532" s="3"/>
      <c r="D532" s="3"/>
      <c r="E532" s="3"/>
      <c r="F532" s="3"/>
      <c r="G532" s="3"/>
      <c r="H532" s="3"/>
      <c r="I532" s="3"/>
      <c r="J532" s="3"/>
      <c r="K532" s="3"/>
    </row>
    <row r="533" spans="1:11" hidden="1" x14ac:dyDescent="0.3">
      <c r="A533" s="3"/>
      <c r="B533" s="3"/>
      <c r="C533" s="3"/>
      <c r="D533" s="3"/>
      <c r="E533" s="3"/>
      <c r="F533" s="3"/>
      <c r="G533" s="3"/>
      <c r="H533" s="3"/>
      <c r="I533" s="3"/>
      <c r="J533" s="3"/>
      <c r="K533" s="3"/>
    </row>
    <row r="534" spans="1:11" hidden="1" x14ac:dyDescent="0.3">
      <c r="A534" s="3"/>
      <c r="B534" s="3"/>
      <c r="C534" s="3"/>
      <c r="D534" s="3"/>
      <c r="E534" s="3"/>
      <c r="F534" s="3"/>
      <c r="G534" s="3"/>
      <c r="H534" s="3"/>
      <c r="I534" s="3"/>
      <c r="J534" s="3"/>
      <c r="K534" s="3"/>
    </row>
    <row r="535" spans="1:11" hidden="1" x14ac:dyDescent="0.3">
      <c r="A535" s="3"/>
      <c r="B535" s="3"/>
      <c r="C535" s="3"/>
      <c r="D535" s="3"/>
      <c r="E535" s="3"/>
      <c r="F535" s="3"/>
      <c r="G535" s="3"/>
      <c r="H535" s="3"/>
      <c r="I535" s="3"/>
      <c r="J535" s="3"/>
      <c r="K535" s="3"/>
    </row>
    <row r="536" spans="1:11" hidden="1" x14ac:dyDescent="0.3">
      <c r="A536" s="3"/>
      <c r="B536" s="3"/>
      <c r="C536" s="3"/>
      <c r="D536" s="3"/>
      <c r="E536" s="3"/>
      <c r="F536" s="3"/>
      <c r="G536" s="3"/>
      <c r="H536" s="3"/>
      <c r="I536" s="3"/>
      <c r="J536" s="3"/>
      <c r="K536" s="3"/>
    </row>
    <row r="537" spans="1:11" hidden="1" x14ac:dyDescent="0.3">
      <c r="A537" s="3"/>
      <c r="B537" s="3"/>
      <c r="C537" s="3"/>
      <c r="D537" s="3"/>
      <c r="E537" s="3"/>
      <c r="F537" s="3"/>
      <c r="G537" s="3"/>
      <c r="H537" s="3"/>
      <c r="I537" s="3"/>
      <c r="J537" s="3"/>
      <c r="K537" s="3"/>
    </row>
    <row r="538" spans="1:11" hidden="1" x14ac:dyDescent="0.3">
      <c r="A538" s="3"/>
      <c r="B538" s="3"/>
      <c r="C538" s="3"/>
      <c r="D538" s="3"/>
      <c r="E538" s="3"/>
      <c r="F538" s="3"/>
      <c r="G538" s="3"/>
      <c r="H538" s="3"/>
      <c r="I538" s="3"/>
      <c r="J538" s="3"/>
      <c r="K538" s="3"/>
    </row>
    <row r="539" spans="1:11" hidden="1" x14ac:dyDescent="0.3">
      <c r="A539" s="3"/>
      <c r="B539" s="3"/>
      <c r="C539" s="3"/>
      <c r="D539" s="3"/>
      <c r="E539" s="3"/>
      <c r="F539" s="3"/>
      <c r="G539" s="3"/>
      <c r="H539" s="3"/>
      <c r="I539" s="3"/>
      <c r="J539" s="3"/>
      <c r="K539" s="3"/>
    </row>
    <row r="540" spans="1:11" hidden="1" x14ac:dyDescent="0.3">
      <c r="A540" s="3"/>
      <c r="B540" s="3"/>
      <c r="C540" s="3"/>
      <c r="D540" s="3"/>
      <c r="E540" s="3"/>
      <c r="F540" s="3"/>
      <c r="G540" s="3"/>
      <c r="H540" s="3"/>
      <c r="I540" s="3"/>
      <c r="J540" s="3"/>
      <c r="K540" s="3"/>
    </row>
    <row r="541" spans="1:11" hidden="1" x14ac:dyDescent="0.3">
      <c r="A541" s="3"/>
      <c r="B541" s="3"/>
      <c r="C541" s="3"/>
      <c r="D541" s="3"/>
      <c r="E541" s="3"/>
      <c r="F541" s="3"/>
      <c r="G541" s="3"/>
      <c r="H541" s="3"/>
      <c r="I541" s="3"/>
      <c r="J541" s="3"/>
      <c r="K541" s="3"/>
    </row>
    <row r="542" spans="1:11" hidden="1" x14ac:dyDescent="0.3">
      <c r="A542" s="3"/>
      <c r="B542" s="3"/>
      <c r="C542" s="3"/>
      <c r="D542" s="3"/>
      <c r="E542" s="3"/>
      <c r="F542" s="3"/>
      <c r="G542" s="3"/>
      <c r="H542" s="3"/>
      <c r="I542" s="3"/>
      <c r="J542" s="3"/>
      <c r="K542" s="3"/>
    </row>
    <row r="543" spans="1:11" hidden="1" x14ac:dyDescent="0.3">
      <c r="A543" s="3"/>
      <c r="B543" s="3"/>
      <c r="C543" s="3"/>
      <c r="D543" s="3"/>
      <c r="E543" s="3"/>
      <c r="F543" s="3"/>
      <c r="G543" s="3"/>
      <c r="H543" s="3"/>
      <c r="I543" s="3"/>
      <c r="J543" s="3"/>
      <c r="K543" s="3"/>
    </row>
    <row r="544" spans="1:11" hidden="1" x14ac:dyDescent="0.3">
      <c r="A544" s="3"/>
      <c r="B544" s="3"/>
      <c r="C544" s="3"/>
      <c r="D544" s="3"/>
      <c r="E544" s="3"/>
      <c r="F544" s="3"/>
      <c r="G544" s="3"/>
      <c r="H544" s="3"/>
      <c r="I544" s="3"/>
      <c r="J544" s="3"/>
      <c r="K544" s="3"/>
    </row>
    <row r="545" spans="1:11" hidden="1" x14ac:dyDescent="0.3">
      <c r="A545" s="3"/>
      <c r="B545" s="3"/>
      <c r="C545" s="3"/>
      <c r="D545" s="3"/>
      <c r="E545" s="3"/>
      <c r="F545" s="3"/>
      <c r="G545" s="3"/>
      <c r="H545" s="3"/>
      <c r="I545" s="3"/>
      <c r="J545" s="3"/>
      <c r="K545" s="3"/>
    </row>
    <row r="546" spans="1:11" hidden="1" x14ac:dyDescent="0.3">
      <c r="A546" s="3"/>
      <c r="B546" s="3"/>
      <c r="C546" s="3"/>
      <c r="D546" s="3"/>
      <c r="E546" s="3"/>
      <c r="F546" s="3"/>
      <c r="G546" s="3"/>
      <c r="H546" s="3"/>
      <c r="I546" s="3"/>
      <c r="J546" s="3"/>
      <c r="K546" s="3"/>
    </row>
    <row r="547" spans="1:11" hidden="1" x14ac:dyDescent="0.3">
      <c r="A547" s="3"/>
      <c r="B547" s="3"/>
      <c r="C547" s="3"/>
      <c r="D547" s="3"/>
      <c r="E547" s="3"/>
      <c r="F547" s="3"/>
      <c r="G547" s="3"/>
      <c r="H547" s="3"/>
      <c r="I547" s="3"/>
      <c r="J547" s="3"/>
      <c r="K547" s="3"/>
    </row>
    <row r="548" spans="1:11" hidden="1" x14ac:dyDescent="0.3">
      <c r="A548" s="3"/>
      <c r="B548" s="3"/>
      <c r="C548" s="3"/>
      <c r="D548" s="3"/>
      <c r="E548" s="3"/>
      <c r="F548" s="3"/>
      <c r="G548" s="3"/>
      <c r="H548" s="3"/>
      <c r="I548" s="3"/>
      <c r="J548" s="3"/>
      <c r="K548" s="3"/>
    </row>
    <row r="549" spans="1:11" hidden="1" x14ac:dyDescent="0.3">
      <c r="A549" s="3"/>
      <c r="B549" s="3"/>
      <c r="C549" s="3"/>
      <c r="D549" s="3"/>
      <c r="E549" s="3"/>
      <c r="F549" s="3"/>
      <c r="G549" s="3"/>
      <c r="H549" s="3"/>
      <c r="I549" s="3"/>
      <c r="J549" s="3"/>
      <c r="K549" s="3"/>
    </row>
    <row r="550" spans="1:11" hidden="1" x14ac:dyDescent="0.3">
      <c r="A550" s="3"/>
      <c r="B550" s="3"/>
      <c r="C550" s="3"/>
      <c r="D550" s="3"/>
      <c r="E550" s="3"/>
      <c r="F550" s="3"/>
      <c r="G550" s="3"/>
      <c r="H550" s="3"/>
      <c r="I550" s="3"/>
      <c r="J550" s="3"/>
      <c r="K550" s="3"/>
    </row>
    <row r="551" spans="1:11" hidden="1" x14ac:dyDescent="0.3">
      <c r="A551" s="3"/>
      <c r="B551" s="3"/>
      <c r="C551" s="3"/>
      <c r="D551" s="3"/>
      <c r="E551" s="3"/>
      <c r="F551" s="3"/>
      <c r="G551" s="3"/>
      <c r="H551" s="3"/>
      <c r="I551" s="3"/>
      <c r="J551" s="3"/>
      <c r="K551" s="3"/>
    </row>
    <row r="552" spans="1:11" hidden="1" x14ac:dyDescent="0.3">
      <c r="A552" s="3"/>
      <c r="B552" s="3"/>
      <c r="C552" s="3"/>
      <c r="D552" s="3"/>
      <c r="E552" s="3"/>
      <c r="F552" s="3"/>
      <c r="G552" s="3"/>
      <c r="H552" s="3"/>
      <c r="I552" s="3"/>
      <c r="J552" s="3"/>
      <c r="K552" s="3"/>
    </row>
    <row r="553" spans="1:11" hidden="1" x14ac:dyDescent="0.3">
      <c r="A553" s="3"/>
      <c r="B553" s="3"/>
      <c r="C553" s="3"/>
      <c r="D553" s="3"/>
      <c r="E553" s="3"/>
      <c r="F553" s="3"/>
      <c r="G553" s="3"/>
      <c r="H553" s="3"/>
      <c r="I553" s="3"/>
      <c r="J553" s="3"/>
      <c r="K553" s="3"/>
    </row>
    <row r="554" spans="1:11" hidden="1" x14ac:dyDescent="0.3">
      <c r="A554" s="3"/>
      <c r="B554" s="3"/>
      <c r="C554" s="3"/>
      <c r="D554" s="3"/>
      <c r="E554" s="3"/>
      <c r="F554" s="3"/>
      <c r="G554" s="3"/>
      <c r="H554" s="3"/>
      <c r="I554" s="3"/>
      <c r="J554" s="3"/>
      <c r="K554" s="3"/>
    </row>
    <row r="555" spans="1:11" hidden="1" x14ac:dyDescent="0.3">
      <c r="A555" s="3"/>
      <c r="B555" s="3"/>
      <c r="C555" s="3"/>
      <c r="D555" s="3"/>
      <c r="E555" s="3"/>
      <c r="F555" s="3"/>
      <c r="G555" s="3"/>
      <c r="H555" s="3"/>
      <c r="I555" s="3"/>
      <c r="J555" s="3"/>
      <c r="K555" s="3"/>
    </row>
    <row r="556" spans="1:11" hidden="1" x14ac:dyDescent="0.3">
      <c r="A556" s="3"/>
      <c r="B556" s="3"/>
      <c r="C556" s="3"/>
      <c r="D556" s="3"/>
      <c r="E556" s="3"/>
      <c r="F556" s="3"/>
      <c r="G556" s="3"/>
      <c r="H556" s="3"/>
      <c r="I556" s="3"/>
      <c r="J556" s="3"/>
      <c r="K556" s="3"/>
    </row>
    <row r="557" spans="1:11" hidden="1" x14ac:dyDescent="0.3">
      <c r="A557" s="3"/>
      <c r="B557" s="3"/>
      <c r="C557" s="3"/>
      <c r="D557" s="3"/>
      <c r="E557" s="3"/>
      <c r="F557" s="3"/>
      <c r="G557" s="3"/>
      <c r="H557" s="3"/>
      <c r="I557" s="3"/>
      <c r="J557" s="3"/>
      <c r="K557" s="3"/>
    </row>
    <row r="558" spans="1:11" hidden="1" x14ac:dyDescent="0.3">
      <c r="A558" s="3"/>
      <c r="B558" s="3"/>
      <c r="C558" s="3"/>
      <c r="D558" s="3"/>
      <c r="E558" s="3"/>
      <c r="F558" s="3"/>
      <c r="G558" s="3"/>
      <c r="H558" s="3"/>
      <c r="I558" s="3"/>
      <c r="J558" s="3"/>
      <c r="K558" s="3"/>
    </row>
    <row r="559" spans="1:11" hidden="1" x14ac:dyDescent="0.3">
      <c r="A559" s="3"/>
      <c r="B559" s="3"/>
      <c r="C559" s="3"/>
      <c r="D559" s="3"/>
      <c r="E559" s="3"/>
      <c r="F559" s="3"/>
      <c r="G559" s="3"/>
      <c r="H559" s="3"/>
      <c r="I559" s="3"/>
      <c r="J559" s="3"/>
      <c r="K559" s="3"/>
    </row>
    <row r="560" spans="1:11" hidden="1" x14ac:dyDescent="0.3">
      <c r="A560" s="3"/>
      <c r="B560" s="3"/>
      <c r="C560" s="3"/>
      <c r="D560" s="3"/>
      <c r="E560" s="3"/>
      <c r="F560" s="3"/>
      <c r="G560" s="3"/>
      <c r="H560" s="3"/>
      <c r="I560" s="3"/>
      <c r="J560" s="3"/>
      <c r="K560" s="3"/>
    </row>
    <row r="561" spans="1:11" hidden="1" x14ac:dyDescent="0.3">
      <c r="A561" s="3"/>
      <c r="B561" s="3"/>
      <c r="C561" s="3"/>
      <c r="D561" s="3"/>
      <c r="E561" s="3"/>
      <c r="F561" s="3"/>
      <c r="G561" s="3"/>
      <c r="H561" s="3"/>
      <c r="I561" s="3"/>
      <c r="J561" s="3"/>
      <c r="K561" s="3"/>
    </row>
    <row r="562" spans="1:11" hidden="1" x14ac:dyDescent="0.3">
      <c r="A562" s="3"/>
      <c r="B562" s="3"/>
      <c r="C562" s="3"/>
      <c r="D562" s="3"/>
      <c r="E562" s="3"/>
      <c r="F562" s="3"/>
      <c r="G562" s="3"/>
      <c r="H562" s="3"/>
      <c r="I562" s="3"/>
      <c r="J562" s="3"/>
      <c r="K562" s="3"/>
    </row>
    <row r="563" spans="1:11" hidden="1" x14ac:dyDescent="0.3">
      <c r="A563" s="3"/>
      <c r="B563" s="3"/>
      <c r="C563" s="3"/>
      <c r="D563" s="3"/>
      <c r="E563" s="3"/>
      <c r="F563" s="3"/>
      <c r="G563" s="3"/>
      <c r="H563" s="3"/>
      <c r="I563" s="3"/>
      <c r="J563" s="3"/>
      <c r="K563" s="3"/>
    </row>
    <row r="564" spans="1:11" hidden="1" x14ac:dyDescent="0.3">
      <c r="A564" s="3"/>
      <c r="B564" s="3"/>
      <c r="C564" s="3"/>
      <c r="D564" s="3"/>
      <c r="E564" s="3"/>
      <c r="F564" s="3"/>
      <c r="G564" s="3"/>
      <c r="H564" s="3"/>
      <c r="I564" s="3"/>
      <c r="J564" s="3"/>
      <c r="K564" s="3"/>
    </row>
    <row r="565" spans="1:11" hidden="1" x14ac:dyDescent="0.3">
      <c r="A565" s="3"/>
      <c r="B565" s="3"/>
      <c r="C565" s="3"/>
      <c r="D565" s="3"/>
      <c r="E565" s="3"/>
      <c r="F565" s="3"/>
      <c r="G565" s="3"/>
      <c r="H565" s="3"/>
      <c r="I565" s="3"/>
      <c r="J565" s="3"/>
      <c r="K565" s="3"/>
    </row>
    <row r="566" spans="1:11" hidden="1" x14ac:dyDescent="0.3">
      <c r="A566" s="3"/>
      <c r="B566" s="3"/>
      <c r="C566" s="3"/>
      <c r="D566" s="3"/>
      <c r="E566" s="3"/>
      <c r="F566" s="3"/>
      <c r="G566" s="3"/>
      <c r="H566" s="3"/>
      <c r="I566" s="3"/>
      <c r="J566" s="3"/>
      <c r="K566" s="3"/>
    </row>
    <row r="567" spans="1:11" hidden="1" x14ac:dyDescent="0.3">
      <c r="A567" s="3"/>
      <c r="B567" s="3"/>
      <c r="C567" s="3"/>
      <c r="D567" s="3"/>
      <c r="E567" s="3"/>
      <c r="F567" s="3"/>
      <c r="G567" s="3"/>
      <c r="H567" s="3"/>
      <c r="I567" s="3"/>
      <c r="J567" s="3"/>
      <c r="K567" s="3"/>
    </row>
    <row r="568" spans="1:11" hidden="1" x14ac:dyDescent="0.3">
      <c r="A568" s="3"/>
      <c r="B568" s="3"/>
      <c r="C568" s="3"/>
      <c r="D568" s="3"/>
      <c r="E568" s="3"/>
      <c r="F568" s="3"/>
      <c r="G568" s="3"/>
      <c r="H568" s="3"/>
      <c r="I568" s="3"/>
      <c r="J568" s="3"/>
      <c r="K568" s="3"/>
    </row>
    <row r="569" spans="1:11" hidden="1" x14ac:dyDescent="0.3">
      <c r="A569" s="3"/>
      <c r="B569" s="3"/>
      <c r="C569" s="3"/>
      <c r="D569" s="3"/>
      <c r="E569" s="3"/>
      <c r="F569" s="3"/>
      <c r="G569" s="3"/>
      <c r="H569" s="3"/>
      <c r="I569" s="3"/>
      <c r="J569" s="3"/>
      <c r="K569" s="3"/>
    </row>
    <row r="570" spans="1:11" hidden="1" x14ac:dyDescent="0.3">
      <c r="A570" s="3"/>
      <c r="B570" s="3"/>
      <c r="C570" s="3"/>
      <c r="D570" s="3"/>
      <c r="E570" s="3"/>
      <c r="F570" s="3"/>
      <c r="G570" s="3"/>
      <c r="H570" s="3"/>
      <c r="I570" s="3"/>
      <c r="J570" s="3"/>
      <c r="K570" s="3"/>
    </row>
    <row r="571" spans="1:11" hidden="1" x14ac:dyDescent="0.3">
      <c r="A571" s="3"/>
      <c r="B571" s="3"/>
      <c r="C571" s="3"/>
      <c r="D571" s="3"/>
      <c r="E571" s="3"/>
      <c r="F571" s="3"/>
      <c r="G571" s="3"/>
      <c r="H571" s="3"/>
      <c r="I571" s="3"/>
      <c r="J571" s="3"/>
      <c r="K571" s="3"/>
    </row>
    <row r="572" spans="1:11" hidden="1" x14ac:dyDescent="0.3">
      <c r="A572" s="3"/>
      <c r="B572" s="3"/>
      <c r="C572" s="3"/>
      <c r="D572" s="3"/>
      <c r="E572" s="3"/>
      <c r="F572" s="3"/>
      <c r="G572" s="3"/>
      <c r="H572" s="3"/>
      <c r="I572" s="3"/>
      <c r="J572" s="3"/>
      <c r="K572" s="3"/>
    </row>
    <row r="573" spans="1:11" hidden="1" x14ac:dyDescent="0.3">
      <c r="A573" s="3"/>
      <c r="B573" s="3"/>
      <c r="C573" s="3"/>
      <c r="D573" s="3"/>
      <c r="E573" s="3"/>
      <c r="F573" s="3"/>
      <c r="G573" s="3"/>
      <c r="H573" s="3"/>
      <c r="I573" s="3"/>
      <c r="J573" s="3"/>
      <c r="K573" s="3"/>
    </row>
    <row r="574" spans="1:11" hidden="1" x14ac:dyDescent="0.3">
      <c r="A574" s="3"/>
      <c r="B574" s="3"/>
      <c r="C574" s="3"/>
      <c r="D574" s="3"/>
      <c r="E574" s="3"/>
      <c r="F574" s="3"/>
      <c r="G574" s="3"/>
      <c r="H574" s="3"/>
      <c r="I574" s="3"/>
      <c r="J574" s="3"/>
      <c r="K574" s="3"/>
    </row>
    <row r="575" spans="1:11" hidden="1" x14ac:dyDescent="0.3">
      <c r="A575" s="3"/>
      <c r="B575" s="3"/>
      <c r="C575" s="3"/>
      <c r="D575" s="3"/>
      <c r="E575" s="3"/>
      <c r="F575" s="3"/>
      <c r="G575" s="3"/>
      <c r="H575" s="3"/>
      <c r="I575" s="3"/>
      <c r="J575" s="3"/>
      <c r="K575" s="3"/>
    </row>
    <row r="576" spans="1:11" hidden="1" x14ac:dyDescent="0.3">
      <c r="A576" s="3"/>
      <c r="B576" s="3"/>
      <c r="C576" s="3"/>
      <c r="D576" s="3"/>
      <c r="E576" s="3"/>
      <c r="F576" s="3"/>
      <c r="G576" s="3"/>
      <c r="H576" s="3"/>
      <c r="I576" s="3"/>
      <c r="J576" s="3"/>
      <c r="K576" s="3"/>
    </row>
    <row r="577" spans="1:11" hidden="1" x14ac:dyDescent="0.3">
      <c r="A577" s="3"/>
      <c r="B577" s="3"/>
      <c r="C577" s="3"/>
      <c r="D577" s="3"/>
      <c r="E577" s="3"/>
      <c r="F577" s="3"/>
      <c r="G577" s="3"/>
      <c r="H577" s="3"/>
      <c r="I577" s="3"/>
      <c r="J577" s="3"/>
      <c r="K577" s="3"/>
    </row>
    <row r="578" spans="1:11" hidden="1" x14ac:dyDescent="0.3">
      <c r="A578" s="3"/>
      <c r="B578" s="3"/>
      <c r="C578" s="3"/>
      <c r="D578" s="3"/>
      <c r="E578" s="3"/>
      <c r="F578" s="3"/>
      <c r="G578" s="3"/>
      <c r="H578" s="3"/>
      <c r="I578" s="3"/>
      <c r="J578" s="3"/>
      <c r="K578" s="3"/>
    </row>
    <row r="579" spans="1:11" hidden="1" x14ac:dyDescent="0.3">
      <c r="A579" s="3"/>
      <c r="B579" s="3"/>
      <c r="C579" s="3"/>
      <c r="D579" s="3"/>
      <c r="E579" s="3"/>
      <c r="F579" s="3"/>
      <c r="G579" s="3"/>
      <c r="H579" s="3"/>
      <c r="I579" s="3"/>
      <c r="J579" s="3"/>
      <c r="K579" s="3"/>
    </row>
    <row r="580" spans="1:11" hidden="1" x14ac:dyDescent="0.3">
      <c r="A580" s="3"/>
      <c r="B580" s="3"/>
      <c r="C580" s="3"/>
      <c r="D580" s="3"/>
      <c r="E580" s="3"/>
      <c r="F580" s="3"/>
      <c r="G580" s="3"/>
      <c r="H580" s="3"/>
      <c r="I580" s="3"/>
      <c r="J580" s="3"/>
      <c r="K580" s="3"/>
    </row>
    <row r="581" spans="1:11" hidden="1" x14ac:dyDescent="0.3">
      <c r="A581" s="3"/>
      <c r="B581" s="3"/>
      <c r="C581" s="3"/>
      <c r="D581" s="3"/>
      <c r="E581" s="3"/>
      <c r="F581" s="3"/>
      <c r="G581" s="3"/>
      <c r="H581" s="3"/>
      <c r="I581" s="3"/>
      <c r="J581" s="3"/>
      <c r="K581" s="3"/>
    </row>
    <row r="582" spans="1:11" hidden="1" x14ac:dyDescent="0.3">
      <c r="A582" s="3"/>
      <c r="B582" s="3"/>
      <c r="C582" s="3"/>
      <c r="D582" s="3"/>
      <c r="E582" s="3"/>
      <c r="F582" s="3"/>
      <c r="G582" s="3"/>
      <c r="H582" s="3"/>
      <c r="I582" s="3"/>
      <c r="J582" s="3"/>
      <c r="K582" s="3"/>
    </row>
    <row r="583" spans="1:11" hidden="1" x14ac:dyDescent="0.3">
      <c r="A583" s="3"/>
      <c r="B583" s="3"/>
      <c r="C583" s="3"/>
      <c r="D583" s="3"/>
      <c r="E583" s="3"/>
      <c r="F583" s="3"/>
      <c r="G583" s="3"/>
      <c r="H583" s="3"/>
      <c r="I583" s="3"/>
      <c r="J583" s="3"/>
      <c r="K583" s="3"/>
    </row>
    <row r="584" spans="1:11" hidden="1" x14ac:dyDescent="0.3">
      <c r="A584" s="3"/>
      <c r="B584" s="3"/>
      <c r="C584" s="3"/>
      <c r="D584" s="3"/>
      <c r="E584" s="3"/>
      <c r="F584" s="3"/>
      <c r="G584" s="3"/>
      <c r="H584" s="3"/>
      <c r="I584" s="3"/>
      <c r="J584" s="3"/>
      <c r="K584" s="3"/>
    </row>
    <row r="585" spans="1:11" hidden="1" x14ac:dyDescent="0.3">
      <c r="A585" s="3"/>
      <c r="B585" s="3"/>
      <c r="C585" s="3"/>
      <c r="D585" s="3"/>
      <c r="E585" s="3"/>
      <c r="F585" s="3"/>
      <c r="G585" s="3"/>
      <c r="H585" s="3"/>
      <c r="I585" s="3"/>
      <c r="J585" s="3"/>
      <c r="K585" s="3"/>
    </row>
    <row r="586" spans="1:11" hidden="1" x14ac:dyDescent="0.3">
      <c r="A586" s="3"/>
      <c r="B586" s="3"/>
      <c r="C586" s="3"/>
      <c r="D586" s="3"/>
      <c r="E586" s="3"/>
      <c r="F586" s="3"/>
      <c r="G586" s="3"/>
      <c r="H586" s="3"/>
      <c r="I586" s="3"/>
      <c r="J586" s="3"/>
      <c r="K586" s="3"/>
    </row>
    <row r="587" spans="1:11" hidden="1" x14ac:dyDescent="0.3">
      <c r="A587" s="3"/>
      <c r="B587" s="3"/>
      <c r="C587" s="3"/>
      <c r="D587" s="3"/>
      <c r="E587" s="3"/>
      <c r="F587" s="3"/>
      <c r="G587" s="3"/>
      <c r="H587" s="3"/>
      <c r="I587" s="3"/>
      <c r="J587" s="3"/>
      <c r="K587" s="3"/>
    </row>
    <row r="588" spans="1:11" hidden="1" x14ac:dyDescent="0.3">
      <c r="A588" s="3"/>
      <c r="B588" s="3"/>
      <c r="C588" s="3"/>
      <c r="D588" s="3"/>
      <c r="E588" s="3"/>
      <c r="F588" s="3"/>
      <c r="G588" s="3"/>
      <c r="H588" s="3"/>
      <c r="I588" s="3"/>
      <c r="J588" s="3"/>
      <c r="K588" s="3"/>
    </row>
    <row r="589" spans="1:11" hidden="1" x14ac:dyDescent="0.3">
      <c r="A589" s="3"/>
      <c r="B589" s="3"/>
      <c r="C589" s="3"/>
      <c r="D589" s="3"/>
      <c r="E589" s="3"/>
      <c r="F589" s="3"/>
      <c r="G589" s="3"/>
      <c r="H589" s="3"/>
      <c r="I589" s="3"/>
      <c r="J589" s="3"/>
      <c r="K589" s="3"/>
    </row>
    <row r="590" spans="1:11" hidden="1" x14ac:dyDescent="0.3">
      <c r="A590" s="3"/>
      <c r="B590" s="3"/>
      <c r="C590" s="3"/>
      <c r="D590" s="3"/>
      <c r="E590" s="3"/>
      <c r="F590" s="3"/>
      <c r="G590" s="3"/>
      <c r="H590" s="3"/>
      <c r="I590" s="3"/>
      <c r="J590" s="3"/>
      <c r="K590" s="3"/>
    </row>
    <row r="591" spans="1:11" hidden="1" x14ac:dyDescent="0.3">
      <c r="A591" s="3"/>
      <c r="B591" s="3"/>
      <c r="C591" s="3"/>
      <c r="D591" s="3"/>
      <c r="E591" s="3"/>
      <c r="F591" s="3"/>
      <c r="G591" s="3"/>
      <c r="H591" s="3"/>
      <c r="I591" s="3"/>
      <c r="J591" s="3"/>
      <c r="K591" s="3"/>
    </row>
    <row r="592" spans="1:11" hidden="1" x14ac:dyDescent="0.3">
      <c r="A592" s="3"/>
      <c r="B592" s="3"/>
      <c r="C592" s="3"/>
      <c r="D592" s="3"/>
      <c r="E592" s="3"/>
      <c r="F592" s="3"/>
      <c r="G592" s="3"/>
      <c r="H592" s="3"/>
      <c r="I592" s="3"/>
      <c r="J592" s="3"/>
      <c r="K592" s="3"/>
    </row>
    <row r="593" spans="1:11" hidden="1" x14ac:dyDescent="0.3">
      <c r="A593" s="3"/>
      <c r="B593" s="3"/>
      <c r="C593" s="3"/>
      <c r="D593" s="3"/>
      <c r="E593" s="3"/>
      <c r="F593" s="3"/>
      <c r="G593" s="3"/>
      <c r="H593" s="3"/>
      <c r="I593" s="3"/>
      <c r="J593" s="3"/>
      <c r="K593" s="3"/>
    </row>
    <row r="594" spans="1:11" hidden="1" x14ac:dyDescent="0.3">
      <c r="A594" s="3"/>
      <c r="B594" s="3"/>
      <c r="C594" s="3"/>
      <c r="D594" s="3"/>
      <c r="E594" s="3"/>
      <c r="F594" s="3"/>
      <c r="G594" s="3"/>
      <c r="H594" s="3"/>
      <c r="I594" s="3"/>
      <c r="J594" s="3"/>
      <c r="K594" s="3"/>
    </row>
    <row r="595" spans="1:11" hidden="1" x14ac:dyDescent="0.3">
      <c r="A595" s="3"/>
      <c r="B595" s="3"/>
      <c r="C595" s="3"/>
      <c r="D595" s="3"/>
      <c r="E595" s="3"/>
      <c r="F595" s="3"/>
      <c r="G595" s="3"/>
      <c r="H595" s="3"/>
      <c r="I595" s="3"/>
      <c r="J595" s="3"/>
      <c r="K595" s="3"/>
    </row>
    <row r="596" spans="1:11" hidden="1" x14ac:dyDescent="0.3">
      <c r="A596" s="3"/>
      <c r="B596" s="3"/>
      <c r="C596" s="3"/>
      <c r="D596" s="3"/>
      <c r="E596" s="3"/>
      <c r="F596" s="3"/>
      <c r="G596" s="3"/>
      <c r="H596" s="3"/>
      <c r="I596" s="3"/>
      <c r="J596" s="3"/>
      <c r="K596" s="3"/>
    </row>
    <row r="597" spans="1:11" hidden="1" x14ac:dyDescent="0.3">
      <c r="A597" s="3"/>
      <c r="B597" s="3"/>
      <c r="C597" s="3"/>
      <c r="D597" s="3"/>
      <c r="E597" s="3"/>
      <c r="F597" s="3"/>
      <c r="G597" s="3"/>
      <c r="H597" s="3"/>
      <c r="I597" s="3"/>
      <c r="J597" s="3"/>
      <c r="K597" s="3"/>
    </row>
    <row r="598" spans="1:11" hidden="1" x14ac:dyDescent="0.3">
      <c r="A598" s="3"/>
      <c r="B598" s="3"/>
      <c r="C598" s="3"/>
      <c r="D598" s="3"/>
      <c r="E598" s="3"/>
      <c r="F598" s="3"/>
      <c r="G598" s="3"/>
      <c r="H598" s="3"/>
      <c r="I598" s="3"/>
      <c r="J598" s="3"/>
      <c r="K598" s="3"/>
    </row>
    <row r="599" spans="1:11" hidden="1" x14ac:dyDescent="0.3">
      <c r="A599" s="3"/>
      <c r="B599" s="3"/>
      <c r="C599" s="3"/>
      <c r="D599" s="3"/>
      <c r="E599" s="3"/>
      <c r="F599" s="3"/>
      <c r="G599" s="3"/>
      <c r="H599" s="3"/>
      <c r="I599" s="3"/>
      <c r="J599" s="3"/>
      <c r="K599" s="3"/>
    </row>
    <row r="600" spans="1:11" hidden="1" x14ac:dyDescent="0.3">
      <c r="A600" s="3"/>
      <c r="B600" s="3"/>
      <c r="C600" s="3"/>
      <c r="D600" s="3"/>
      <c r="E600" s="3"/>
      <c r="F600" s="3"/>
      <c r="G600" s="3"/>
      <c r="H600" s="3"/>
      <c r="I600" s="3"/>
      <c r="J600" s="3"/>
      <c r="K600" s="3"/>
    </row>
    <row r="601" spans="1:11" hidden="1" x14ac:dyDescent="0.3">
      <c r="A601" s="3"/>
      <c r="B601" s="3"/>
      <c r="C601" s="3"/>
      <c r="D601" s="3"/>
      <c r="E601" s="3"/>
      <c r="F601" s="3"/>
      <c r="G601" s="3"/>
      <c r="H601" s="3"/>
      <c r="I601" s="3"/>
      <c r="J601" s="3"/>
      <c r="K601" s="3"/>
    </row>
    <row r="602" spans="1:11" hidden="1" x14ac:dyDescent="0.3">
      <c r="A602" s="3"/>
      <c r="B602" s="3"/>
      <c r="C602" s="3"/>
      <c r="D602" s="3"/>
      <c r="E602" s="3"/>
      <c r="F602" s="3"/>
      <c r="G602" s="3"/>
      <c r="H602" s="3"/>
      <c r="I602" s="3"/>
      <c r="J602" s="3"/>
      <c r="K602" s="3"/>
    </row>
    <row r="603" spans="1:11" hidden="1" x14ac:dyDescent="0.3">
      <c r="A603" s="3"/>
      <c r="B603" s="3"/>
      <c r="C603" s="3"/>
      <c r="D603" s="3"/>
      <c r="E603" s="3"/>
      <c r="F603" s="3"/>
      <c r="G603" s="3"/>
      <c r="H603" s="3"/>
      <c r="I603" s="3"/>
      <c r="J603" s="3"/>
      <c r="K603" s="3"/>
    </row>
    <row r="604" spans="1:11" hidden="1" x14ac:dyDescent="0.3">
      <c r="A604" s="3"/>
      <c r="B604" s="3"/>
      <c r="C604" s="3"/>
      <c r="D604" s="3"/>
      <c r="E604" s="3"/>
      <c r="F604" s="3"/>
      <c r="G604" s="3"/>
      <c r="H604" s="3"/>
      <c r="I604" s="3"/>
      <c r="J604" s="3"/>
      <c r="K604" s="3"/>
    </row>
    <row r="605" spans="1:11" hidden="1" x14ac:dyDescent="0.3">
      <c r="A605" s="3"/>
      <c r="B605" s="3"/>
      <c r="C605" s="3"/>
      <c r="D605" s="3"/>
      <c r="E605" s="3"/>
      <c r="F605" s="3"/>
      <c r="G605" s="3"/>
      <c r="H605" s="3"/>
      <c r="I605" s="3"/>
      <c r="J605" s="3"/>
      <c r="K605" s="3"/>
    </row>
    <row r="606" spans="1:11" hidden="1" x14ac:dyDescent="0.3">
      <c r="A606" s="3"/>
      <c r="B606" s="3"/>
      <c r="C606" s="3"/>
      <c r="D606" s="3"/>
      <c r="E606" s="3"/>
      <c r="F606" s="3"/>
      <c r="G606" s="3"/>
      <c r="H606" s="3"/>
      <c r="I606" s="3"/>
      <c r="J606" s="3"/>
      <c r="K606" s="3"/>
    </row>
    <row r="607" spans="1:11" hidden="1" x14ac:dyDescent="0.3">
      <c r="A607" s="3"/>
      <c r="B607" s="3"/>
      <c r="C607" s="3"/>
      <c r="D607" s="3"/>
      <c r="E607" s="3"/>
      <c r="F607" s="3"/>
      <c r="G607" s="3"/>
      <c r="H607" s="3"/>
      <c r="I607" s="3"/>
      <c r="J607" s="3"/>
      <c r="K607" s="3"/>
    </row>
    <row r="608" spans="1:11" hidden="1" x14ac:dyDescent="0.3">
      <c r="A608" s="3"/>
      <c r="B608" s="3"/>
      <c r="C608" s="3"/>
      <c r="D608" s="3"/>
      <c r="E608" s="3"/>
      <c r="F608" s="3"/>
      <c r="G608" s="3"/>
      <c r="H608" s="3"/>
      <c r="I608" s="3"/>
      <c r="J608" s="3"/>
      <c r="K608" s="3"/>
    </row>
    <row r="609" spans="1:11" hidden="1" x14ac:dyDescent="0.3">
      <c r="A609" s="3"/>
      <c r="B609" s="3"/>
      <c r="C609" s="3"/>
      <c r="D609" s="3"/>
      <c r="E609" s="3"/>
      <c r="F609" s="3"/>
      <c r="G609" s="3"/>
      <c r="H609" s="3"/>
      <c r="I609" s="3"/>
      <c r="J609" s="3"/>
      <c r="K609" s="3"/>
    </row>
    <row r="610" spans="1:11" hidden="1" x14ac:dyDescent="0.3">
      <c r="A610" s="3"/>
      <c r="B610" s="3"/>
      <c r="C610" s="3"/>
      <c r="D610" s="3"/>
      <c r="E610" s="3"/>
      <c r="F610" s="3"/>
      <c r="G610" s="3"/>
      <c r="H610" s="3"/>
      <c r="I610" s="3"/>
      <c r="J610" s="3"/>
      <c r="K610" s="3"/>
    </row>
    <row r="611" spans="1:11" hidden="1" x14ac:dyDescent="0.3">
      <c r="A611" s="3"/>
      <c r="B611" s="3"/>
      <c r="C611" s="3"/>
      <c r="D611" s="3"/>
      <c r="E611" s="3"/>
      <c r="F611" s="3"/>
      <c r="G611" s="3"/>
      <c r="H611" s="3"/>
      <c r="I611" s="3"/>
      <c r="J611" s="3"/>
      <c r="K611" s="3"/>
    </row>
    <row r="612" spans="1:11" hidden="1" x14ac:dyDescent="0.3">
      <c r="A612" s="3"/>
      <c r="B612" s="3"/>
      <c r="C612" s="3"/>
      <c r="D612" s="3"/>
      <c r="E612" s="3"/>
      <c r="F612" s="3"/>
      <c r="G612" s="3"/>
      <c r="H612" s="3"/>
      <c r="I612" s="3"/>
      <c r="J612" s="3"/>
      <c r="K612" s="3"/>
    </row>
    <row r="613" spans="1:11" hidden="1" x14ac:dyDescent="0.3">
      <c r="A613" s="3"/>
      <c r="B613" s="3"/>
      <c r="C613" s="3"/>
      <c r="D613" s="3"/>
      <c r="E613" s="3"/>
      <c r="F613" s="3"/>
      <c r="G613" s="3"/>
      <c r="H613" s="3"/>
      <c r="I613" s="3"/>
      <c r="J613" s="3"/>
      <c r="K613" s="3"/>
    </row>
    <row r="614" spans="1:11" hidden="1" x14ac:dyDescent="0.3">
      <c r="A614" s="3"/>
      <c r="B614" s="3"/>
      <c r="C614" s="3"/>
      <c r="D614" s="3"/>
      <c r="E614" s="3"/>
      <c r="F614" s="3"/>
      <c r="G614" s="3"/>
      <c r="H614" s="3"/>
      <c r="I614" s="3"/>
      <c r="J614" s="3"/>
      <c r="K614" s="3"/>
    </row>
    <row r="615" spans="1:11" hidden="1" x14ac:dyDescent="0.3">
      <c r="A615" s="3"/>
      <c r="B615" s="3"/>
      <c r="C615" s="3"/>
      <c r="D615" s="3"/>
      <c r="E615" s="3"/>
      <c r="F615" s="3"/>
      <c r="G615" s="3"/>
      <c r="H615" s="3"/>
      <c r="I615" s="3"/>
      <c r="J615" s="3"/>
      <c r="K615" s="3"/>
    </row>
    <row r="616" spans="1:11" hidden="1" x14ac:dyDescent="0.3">
      <c r="A616" s="3"/>
      <c r="B616" s="3"/>
      <c r="C616" s="3"/>
      <c r="D616" s="3"/>
      <c r="E616" s="3"/>
      <c r="F616" s="3"/>
      <c r="G616" s="3"/>
      <c r="H616" s="3"/>
      <c r="I616" s="3"/>
      <c r="J616" s="3"/>
      <c r="K616" s="3"/>
    </row>
    <row r="617" spans="1:11" hidden="1" x14ac:dyDescent="0.3">
      <c r="A617" s="3"/>
      <c r="B617" s="3"/>
      <c r="C617" s="3"/>
      <c r="D617" s="3"/>
      <c r="E617" s="3"/>
      <c r="F617" s="3"/>
      <c r="G617" s="3"/>
      <c r="H617" s="3"/>
      <c r="I617" s="3"/>
      <c r="J617" s="3"/>
      <c r="K617" s="3"/>
    </row>
    <row r="618" spans="1:11" hidden="1" x14ac:dyDescent="0.3">
      <c r="A618" s="3"/>
      <c r="B618" s="3"/>
      <c r="C618" s="3"/>
      <c r="D618" s="3"/>
      <c r="E618" s="3"/>
      <c r="F618" s="3"/>
      <c r="G618" s="3"/>
      <c r="H618" s="3"/>
      <c r="I618" s="3"/>
      <c r="J618" s="3"/>
      <c r="K618" s="3"/>
    </row>
    <row r="619" spans="1:11" hidden="1" x14ac:dyDescent="0.3">
      <c r="A619" s="3"/>
      <c r="B619" s="3"/>
      <c r="C619" s="3"/>
      <c r="D619" s="3"/>
      <c r="E619" s="3"/>
      <c r="F619" s="3"/>
      <c r="G619" s="3"/>
      <c r="H619" s="3"/>
      <c r="I619" s="3"/>
      <c r="J619" s="3"/>
      <c r="K619" s="3"/>
    </row>
    <row r="620" spans="1:11" hidden="1" x14ac:dyDescent="0.3">
      <c r="A620" s="3"/>
      <c r="B620" s="3"/>
      <c r="C620" s="3"/>
      <c r="D620" s="3"/>
      <c r="E620" s="3"/>
      <c r="F620" s="3"/>
      <c r="G620" s="3"/>
      <c r="H620" s="3"/>
      <c r="I620" s="3"/>
      <c r="J620" s="3"/>
      <c r="K620" s="3"/>
    </row>
    <row r="621" spans="1:11" hidden="1" x14ac:dyDescent="0.3">
      <c r="A621" s="3"/>
      <c r="B621" s="3"/>
      <c r="C621" s="3"/>
      <c r="D621" s="3"/>
      <c r="E621" s="3"/>
      <c r="F621" s="3"/>
      <c r="G621" s="3"/>
      <c r="H621" s="3"/>
      <c r="I621" s="3"/>
      <c r="J621" s="3"/>
      <c r="K621" s="3"/>
    </row>
    <row r="622" spans="1:11" hidden="1" x14ac:dyDescent="0.3">
      <c r="A622" s="3"/>
      <c r="B622" s="3"/>
      <c r="C622" s="3"/>
      <c r="D622" s="3"/>
      <c r="E622" s="3"/>
      <c r="F622" s="3"/>
      <c r="G622" s="3"/>
      <c r="H622" s="3"/>
      <c r="I622" s="3"/>
      <c r="J622" s="3"/>
      <c r="K622" s="3"/>
    </row>
    <row r="623" spans="1:11" hidden="1" x14ac:dyDescent="0.3">
      <c r="A623" s="3"/>
      <c r="B623" s="3"/>
      <c r="C623" s="3"/>
      <c r="D623" s="3"/>
      <c r="E623" s="3"/>
      <c r="F623" s="3"/>
      <c r="G623" s="3"/>
      <c r="H623" s="3"/>
      <c r="I623" s="3"/>
      <c r="J623" s="3"/>
      <c r="K623" s="3"/>
    </row>
    <row r="624" spans="1:11" hidden="1" x14ac:dyDescent="0.3">
      <c r="A624" s="3"/>
      <c r="B624" s="3"/>
      <c r="C624" s="3"/>
      <c r="D624" s="3"/>
      <c r="E624" s="3"/>
      <c r="F624" s="3"/>
      <c r="G624" s="3"/>
      <c r="H624" s="3"/>
      <c r="I624" s="3"/>
      <c r="J624" s="3"/>
      <c r="K624" s="3"/>
    </row>
    <row r="625" spans="1:11" hidden="1" x14ac:dyDescent="0.3">
      <c r="A625" s="3"/>
      <c r="B625" s="3"/>
      <c r="C625" s="3"/>
      <c r="D625" s="3"/>
      <c r="E625" s="3"/>
      <c r="F625" s="3"/>
      <c r="G625" s="3"/>
      <c r="H625" s="3"/>
      <c r="I625" s="3"/>
      <c r="J625" s="3"/>
      <c r="K625" s="3"/>
    </row>
    <row r="626" spans="1:11" hidden="1" x14ac:dyDescent="0.3">
      <c r="A626" s="3"/>
      <c r="B626" s="3"/>
      <c r="C626" s="3"/>
      <c r="D626" s="3"/>
      <c r="E626" s="3"/>
      <c r="F626" s="3"/>
      <c r="G626" s="3"/>
      <c r="H626" s="3"/>
      <c r="I626" s="3"/>
      <c r="J626" s="3"/>
      <c r="K626" s="3"/>
    </row>
    <row r="627" spans="1:11" hidden="1" x14ac:dyDescent="0.3">
      <c r="A627" s="3"/>
      <c r="B627" s="3"/>
      <c r="C627" s="3"/>
      <c r="D627" s="3"/>
      <c r="E627" s="3"/>
      <c r="F627" s="3"/>
      <c r="G627" s="3"/>
      <c r="H627" s="3"/>
      <c r="I627" s="3"/>
      <c r="J627" s="3"/>
      <c r="K627" s="3"/>
    </row>
    <row r="628" spans="1:11" hidden="1" x14ac:dyDescent="0.3">
      <c r="A628" s="3"/>
      <c r="B628" s="3"/>
      <c r="C628" s="3"/>
      <c r="D628" s="3"/>
      <c r="E628" s="3"/>
      <c r="F628" s="3"/>
      <c r="G628" s="3"/>
      <c r="H628" s="3"/>
      <c r="I628" s="3"/>
      <c r="J628" s="3"/>
      <c r="K628" s="3"/>
    </row>
    <row r="629" spans="1:11" hidden="1" x14ac:dyDescent="0.3">
      <c r="A629" s="3"/>
      <c r="B629" s="3"/>
      <c r="C629" s="3"/>
      <c r="D629" s="3"/>
      <c r="E629" s="3"/>
      <c r="F629" s="3"/>
      <c r="G629" s="3"/>
      <c r="H629" s="3"/>
      <c r="I629" s="3"/>
      <c r="J629" s="3"/>
      <c r="K629" s="3"/>
    </row>
    <row r="630" spans="1:11" hidden="1" x14ac:dyDescent="0.3">
      <c r="A630" s="3"/>
      <c r="B630" s="3"/>
      <c r="C630" s="3"/>
      <c r="D630" s="3"/>
      <c r="E630" s="3"/>
      <c r="F630" s="3"/>
      <c r="G630" s="3"/>
      <c r="H630" s="3"/>
      <c r="I630" s="3"/>
      <c r="J630" s="3"/>
      <c r="K630" s="3"/>
    </row>
    <row r="631" spans="1:11" hidden="1" x14ac:dyDescent="0.3">
      <c r="A631" s="3"/>
      <c r="B631" s="3"/>
      <c r="C631" s="3"/>
      <c r="D631" s="3"/>
      <c r="E631" s="3"/>
      <c r="F631" s="3"/>
      <c r="G631" s="3"/>
      <c r="H631" s="3"/>
      <c r="I631" s="3"/>
      <c r="J631" s="3"/>
      <c r="K631" s="3"/>
    </row>
    <row r="632" spans="1:11" hidden="1" x14ac:dyDescent="0.3">
      <c r="A632" s="3"/>
      <c r="B632" s="3"/>
      <c r="C632" s="3"/>
      <c r="D632" s="3"/>
      <c r="E632" s="3"/>
      <c r="F632" s="3"/>
      <c r="G632" s="3"/>
      <c r="H632" s="3"/>
      <c r="I632" s="3"/>
      <c r="J632" s="3"/>
      <c r="K632" s="3"/>
    </row>
    <row r="633" spans="1:11" hidden="1" x14ac:dyDescent="0.3">
      <c r="A633" s="3"/>
      <c r="B633" s="3"/>
      <c r="C633" s="3"/>
      <c r="D633" s="3"/>
      <c r="E633" s="3"/>
      <c r="F633" s="3"/>
      <c r="G633" s="3"/>
      <c r="H633" s="3"/>
      <c r="I633" s="3"/>
      <c r="J633" s="3"/>
      <c r="K633" s="3"/>
    </row>
    <row r="634" spans="1:11" hidden="1" x14ac:dyDescent="0.3">
      <c r="A634" s="3"/>
      <c r="B634" s="3"/>
      <c r="C634" s="3"/>
      <c r="D634" s="3"/>
      <c r="E634" s="3"/>
      <c r="F634" s="3"/>
      <c r="G634" s="3"/>
      <c r="H634" s="3"/>
      <c r="I634" s="3"/>
      <c r="J634" s="3"/>
      <c r="K634" s="3"/>
    </row>
    <row r="635" spans="1:11" hidden="1" x14ac:dyDescent="0.3">
      <c r="A635" s="3"/>
      <c r="B635" s="3"/>
      <c r="C635" s="3"/>
      <c r="D635" s="3"/>
      <c r="E635" s="3"/>
      <c r="F635" s="3"/>
      <c r="G635" s="3"/>
      <c r="H635" s="3"/>
      <c r="I635" s="3"/>
      <c r="J635" s="3"/>
      <c r="K635" s="3"/>
    </row>
    <row r="636" spans="1:11" hidden="1" x14ac:dyDescent="0.3">
      <c r="A636" s="3"/>
      <c r="B636" s="3"/>
      <c r="C636" s="3"/>
      <c r="D636" s="3"/>
      <c r="E636" s="3"/>
      <c r="F636" s="3"/>
      <c r="G636" s="3"/>
      <c r="H636" s="3"/>
      <c r="I636" s="3"/>
      <c r="J636" s="3"/>
      <c r="K636" s="3"/>
    </row>
    <row r="637" spans="1:11" hidden="1" x14ac:dyDescent="0.3">
      <c r="A637" s="3"/>
      <c r="B637" s="3"/>
      <c r="C637" s="3"/>
      <c r="D637" s="3"/>
      <c r="E637" s="3"/>
      <c r="F637" s="3"/>
      <c r="G637" s="3"/>
      <c r="H637" s="3"/>
      <c r="I637" s="3"/>
      <c r="J637" s="3"/>
      <c r="K637" s="3"/>
    </row>
    <row r="638" spans="1:11" hidden="1" x14ac:dyDescent="0.3">
      <c r="A638" s="3"/>
      <c r="B638" s="3"/>
      <c r="C638" s="3"/>
      <c r="D638" s="3"/>
      <c r="E638" s="3"/>
      <c r="F638" s="3"/>
      <c r="G638" s="3"/>
      <c r="H638" s="3"/>
      <c r="I638" s="3"/>
      <c r="J638" s="3"/>
      <c r="K638" s="3"/>
    </row>
    <row r="639" spans="1:11" hidden="1" x14ac:dyDescent="0.3">
      <c r="A639" s="3"/>
      <c r="B639" s="3"/>
      <c r="C639" s="3"/>
      <c r="D639" s="3"/>
      <c r="E639" s="3"/>
      <c r="F639" s="3"/>
      <c r="G639" s="3"/>
      <c r="H639" s="3"/>
      <c r="I639" s="3"/>
      <c r="J639" s="3"/>
      <c r="K639" s="3"/>
    </row>
    <row r="640" spans="1:11" hidden="1" x14ac:dyDescent="0.3">
      <c r="A640" s="3"/>
      <c r="B640" s="3"/>
      <c r="C640" s="3"/>
      <c r="D640" s="3"/>
      <c r="E640" s="3"/>
      <c r="F640" s="3"/>
      <c r="G640" s="3"/>
      <c r="H640" s="3"/>
      <c r="I640" s="3"/>
      <c r="J640" s="3"/>
      <c r="K640" s="3"/>
    </row>
    <row r="641" spans="1:11" hidden="1" x14ac:dyDescent="0.3">
      <c r="A641" s="3"/>
      <c r="B641" s="3"/>
      <c r="C641" s="3"/>
      <c r="D641" s="3"/>
      <c r="E641" s="3"/>
      <c r="F641" s="3"/>
      <c r="G641" s="3"/>
      <c r="H641" s="3"/>
      <c r="I641" s="3"/>
      <c r="J641" s="3"/>
      <c r="K641" s="3"/>
    </row>
    <row r="642" spans="1:11" hidden="1" x14ac:dyDescent="0.3">
      <c r="A642" s="3"/>
      <c r="B642" s="3"/>
      <c r="C642" s="3"/>
      <c r="D642" s="3"/>
      <c r="E642" s="3"/>
      <c r="F642" s="3"/>
      <c r="G642" s="3"/>
      <c r="H642" s="3"/>
      <c r="I642" s="3"/>
      <c r="J642" s="3"/>
      <c r="K642" s="3"/>
    </row>
    <row r="643" spans="1:11" hidden="1" x14ac:dyDescent="0.3">
      <c r="A643" s="3"/>
      <c r="B643" s="3"/>
      <c r="C643" s="3"/>
      <c r="D643" s="3"/>
      <c r="E643" s="3"/>
      <c r="F643" s="3"/>
      <c r="G643" s="3"/>
      <c r="H643" s="3"/>
      <c r="I643" s="3"/>
      <c r="J643" s="3"/>
      <c r="K643" s="3"/>
    </row>
    <row r="644" spans="1:11" hidden="1" x14ac:dyDescent="0.3">
      <c r="A644" s="3"/>
      <c r="B644" s="3"/>
      <c r="C644" s="3"/>
      <c r="D644" s="3"/>
      <c r="E644" s="3"/>
      <c r="F644" s="3"/>
      <c r="G644" s="3"/>
      <c r="H644" s="3"/>
      <c r="I644" s="3"/>
      <c r="J644" s="3"/>
      <c r="K644" s="3"/>
    </row>
    <row r="645" spans="1:11" hidden="1" x14ac:dyDescent="0.3">
      <c r="A645" s="3"/>
      <c r="B645" s="3"/>
      <c r="C645" s="3"/>
      <c r="D645" s="3"/>
      <c r="E645" s="3"/>
      <c r="F645" s="3"/>
      <c r="G645" s="3"/>
      <c r="H645" s="3"/>
      <c r="I645" s="3"/>
      <c r="J645" s="3"/>
      <c r="K645" s="3"/>
    </row>
    <row r="646" spans="1:11" hidden="1" x14ac:dyDescent="0.3">
      <c r="A646" s="3"/>
      <c r="B646" s="3"/>
      <c r="C646" s="3"/>
      <c r="D646" s="3"/>
      <c r="E646" s="3"/>
      <c r="F646" s="3"/>
      <c r="G646" s="3"/>
      <c r="H646" s="3"/>
      <c r="I646" s="3"/>
      <c r="J646" s="3"/>
      <c r="K646" s="3"/>
    </row>
    <row r="647" spans="1:11" hidden="1" x14ac:dyDescent="0.3">
      <c r="A647" s="3"/>
      <c r="B647" s="3"/>
      <c r="C647" s="3"/>
      <c r="D647" s="3"/>
      <c r="E647" s="3"/>
      <c r="F647" s="3"/>
      <c r="G647" s="3"/>
      <c r="H647" s="3"/>
      <c r="I647" s="3"/>
      <c r="J647" s="3"/>
      <c r="K647" s="3"/>
    </row>
    <row r="648" spans="1:11" hidden="1" x14ac:dyDescent="0.3">
      <c r="A648" s="3"/>
      <c r="B648" s="3"/>
      <c r="C648" s="3"/>
      <c r="D648" s="3"/>
      <c r="E648" s="3"/>
      <c r="F648" s="3"/>
      <c r="G648" s="3"/>
      <c r="H648" s="3"/>
      <c r="I648" s="3"/>
      <c r="J648" s="3"/>
      <c r="K648" s="3"/>
    </row>
    <row r="649" spans="1:11" hidden="1" x14ac:dyDescent="0.3">
      <c r="A649" s="3"/>
      <c r="B649" s="3"/>
      <c r="C649" s="3"/>
      <c r="D649" s="3"/>
      <c r="E649" s="3"/>
      <c r="F649" s="3"/>
      <c r="G649" s="3"/>
      <c r="H649" s="3"/>
      <c r="I649" s="3"/>
      <c r="J649" s="3"/>
      <c r="K649" s="3"/>
    </row>
    <row r="650" spans="1:11" hidden="1" x14ac:dyDescent="0.3">
      <c r="A650" s="3"/>
      <c r="B650" s="3"/>
      <c r="C650" s="3"/>
      <c r="D650" s="3"/>
      <c r="E650" s="3"/>
      <c r="F650" s="3"/>
      <c r="G650" s="3"/>
      <c r="H650" s="3"/>
      <c r="I650" s="3"/>
      <c r="J650" s="3"/>
      <c r="K650" s="3"/>
    </row>
    <row r="651" spans="1:11" hidden="1" x14ac:dyDescent="0.3">
      <c r="A651" s="3"/>
      <c r="B651" s="3"/>
      <c r="C651" s="3"/>
      <c r="D651" s="3"/>
      <c r="E651" s="3"/>
      <c r="F651" s="3"/>
      <c r="G651" s="3"/>
      <c r="H651" s="3"/>
      <c r="I651" s="3"/>
      <c r="J651" s="3"/>
      <c r="K651" s="3"/>
    </row>
    <row r="652" spans="1:11" hidden="1" x14ac:dyDescent="0.3">
      <c r="A652" s="3"/>
      <c r="B652" s="3"/>
      <c r="C652" s="3"/>
      <c r="D652" s="3"/>
      <c r="E652" s="3"/>
      <c r="F652" s="3"/>
      <c r="G652" s="3"/>
      <c r="H652" s="3"/>
      <c r="I652" s="3"/>
      <c r="J652" s="3"/>
      <c r="K652" s="3"/>
    </row>
    <row r="653" spans="1:11" hidden="1" x14ac:dyDescent="0.3">
      <c r="A653" s="3"/>
      <c r="B653" s="3"/>
      <c r="C653" s="3"/>
      <c r="D653" s="3"/>
      <c r="E653" s="3"/>
      <c r="F653" s="3"/>
      <c r="G653" s="3"/>
      <c r="H653" s="3"/>
      <c r="I653" s="3"/>
      <c r="J653" s="3"/>
      <c r="K653" s="3"/>
    </row>
    <row r="654" spans="1:11" hidden="1" x14ac:dyDescent="0.3">
      <c r="A654" s="3"/>
      <c r="B654" s="3"/>
      <c r="C654" s="3"/>
      <c r="D654" s="3"/>
      <c r="E654" s="3"/>
      <c r="F654" s="3"/>
      <c r="G654" s="3"/>
      <c r="H654" s="3"/>
      <c r="I654" s="3"/>
      <c r="J654" s="3"/>
      <c r="K654" s="3"/>
    </row>
    <row r="655" spans="1:11" hidden="1" x14ac:dyDescent="0.3">
      <c r="A655" s="3"/>
      <c r="B655" s="3"/>
      <c r="C655" s="3"/>
      <c r="D655" s="3"/>
      <c r="E655" s="3"/>
      <c r="F655" s="3"/>
      <c r="G655" s="3"/>
      <c r="H655" s="3"/>
      <c r="I655" s="3"/>
      <c r="J655" s="3"/>
      <c r="K655" s="3"/>
    </row>
    <row r="656" spans="1:11" hidden="1" x14ac:dyDescent="0.3">
      <c r="A656" s="3"/>
      <c r="B656" s="3"/>
      <c r="C656" s="3"/>
      <c r="D656" s="3"/>
      <c r="E656" s="3"/>
      <c r="F656" s="3"/>
      <c r="G656" s="3"/>
      <c r="H656" s="3"/>
      <c r="I656" s="3"/>
      <c r="J656" s="3"/>
      <c r="K656" s="3"/>
    </row>
    <row r="657" spans="1:11" hidden="1" x14ac:dyDescent="0.3">
      <c r="A657" s="3"/>
      <c r="B657" s="3"/>
      <c r="C657" s="3"/>
      <c r="D657" s="3"/>
      <c r="E657" s="3"/>
      <c r="F657" s="3"/>
      <c r="G657" s="3"/>
      <c r="H657" s="3"/>
      <c r="I657" s="3"/>
      <c r="J657" s="3"/>
      <c r="K657" s="3"/>
    </row>
    <row r="658" spans="1:11" hidden="1" x14ac:dyDescent="0.3">
      <c r="A658" s="3"/>
      <c r="B658" s="3"/>
      <c r="C658" s="3"/>
      <c r="D658" s="3"/>
      <c r="E658" s="3"/>
      <c r="F658" s="3"/>
      <c r="G658" s="3"/>
      <c r="H658" s="3"/>
      <c r="I658" s="3"/>
      <c r="J658" s="3"/>
      <c r="K658" s="3"/>
    </row>
    <row r="659" spans="1:11" hidden="1" x14ac:dyDescent="0.3">
      <c r="A659" s="3"/>
      <c r="B659" s="3"/>
      <c r="C659" s="3"/>
      <c r="D659" s="3"/>
      <c r="E659" s="3"/>
      <c r="F659" s="3"/>
      <c r="G659" s="3"/>
      <c r="H659" s="3"/>
      <c r="I659" s="3"/>
      <c r="J659" s="3"/>
      <c r="K659" s="3"/>
    </row>
    <row r="660" spans="1:11" hidden="1" x14ac:dyDescent="0.3">
      <c r="A660" s="3"/>
      <c r="B660" s="3"/>
      <c r="C660" s="3"/>
      <c r="D660" s="3"/>
      <c r="E660" s="3"/>
      <c r="F660" s="3"/>
      <c r="G660" s="3"/>
      <c r="H660" s="3"/>
      <c r="I660" s="3"/>
      <c r="J660" s="3"/>
      <c r="K660" s="3"/>
    </row>
    <row r="661" spans="1:11" hidden="1" x14ac:dyDescent="0.3">
      <c r="A661" s="3"/>
      <c r="B661" s="3"/>
      <c r="C661" s="3"/>
      <c r="D661" s="3"/>
      <c r="E661" s="3"/>
      <c r="F661" s="3"/>
      <c r="G661" s="3"/>
      <c r="H661" s="3"/>
      <c r="I661" s="3"/>
      <c r="J661" s="3"/>
      <c r="K661" s="3"/>
    </row>
    <row r="662" spans="1:11" hidden="1" x14ac:dyDescent="0.3">
      <c r="A662" s="3"/>
      <c r="B662" s="3"/>
      <c r="C662" s="3"/>
      <c r="D662" s="3"/>
      <c r="E662" s="3"/>
      <c r="F662" s="3"/>
      <c r="G662" s="3"/>
      <c r="H662" s="3"/>
      <c r="I662" s="3"/>
      <c r="J662" s="3"/>
      <c r="K662" s="3"/>
    </row>
    <row r="663" spans="1:11" hidden="1" x14ac:dyDescent="0.3">
      <c r="A663" s="3"/>
      <c r="B663" s="3"/>
      <c r="C663" s="3"/>
      <c r="D663" s="3"/>
      <c r="E663" s="3"/>
      <c r="F663" s="3"/>
      <c r="G663" s="3"/>
      <c r="H663" s="3"/>
      <c r="I663" s="3"/>
      <c r="J663" s="3"/>
      <c r="K663" s="3"/>
    </row>
    <row r="664" spans="1:11" hidden="1" x14ac:dyDescent="0.3">
      <c r="A664" s="3"/>
      <c r="B664" s="3"/>
      <c r="C664" s="3"/>
      <c r="D664" s="3"/>
      <c r="E664" s="3"/>
      <c r="F664" s="3"/>
      <c r="G664" s="3"/>
      <c r="H664" s="3"/>
      <c r="I664" s="3"/>
      <c r="J664" s="3"/>
      <c r="K664" s="3"/>
    </row>
    <row r="665" spans="1:11" hidden="1" x14ac:dyDescent="0.3">
      <c r="A665" s="3"/>
      <c r="B665" s="3"/>
      <c r="C665" s="3"/>
      <c r="D665" s="3"/>
      <c r="E665" s="3"/>
      <c r="F665" s="3"/>
      <c r="G665" s="3"/>
      <c r="H665" s="3"/>
      <c r="I665" s="3"/>
      <c r="J665" s="3"/>
      <c r="K665" s="3"/>
    </row>
    <row r="666" spans="1:11" hidden="1" x14ac:dyDescent="0.3">
      <c r="A666" s="3"/>
      <c r="B666" s="3"/>
      <c r="C666" s="3"/>
      <c r="D666" s="3"/>
      <c r="E666" s="3"/>
      <c r="F666" s="3"/>
      <c r="G666" s="3"/>
      <c r="H666" s="3"/>
      <c r="I666" s="3"/>
      <c r="J666" s="3"/>
      <c r="K666" s="3"/>
    </row>
    <row r="667" spans="1:11" hidden="1" x14ac:dyDescent="0.3">
      <c r="A667" s="3"/>
      <c r="B667" s="3"/>
      <c r="C667" s="3"/>
      <c r="D667" s="3"/>
      <c r="E667" s="3"/>
      <c r="F667" s="3"/>
      <c r="G667" s="3"/>
      <c r="H667" s="3"/>
      <c r="I667" s="3"/>
      <c r="J667" s="3"/>
      <c r="K667" s="3"/>
    </row>
    <row r="668" spans="1:11" hidden="1" x14ac:dyDescent="0.3">
      <c r="A668" s="3"/>
      <c r="B668" s="3"/>
      <c r="C668" s="3"/>
      <c r="D668" s="3"/>
      <c r="E668" s="3"/>
      <c r="F668" s="3"/>
      <c r="G668" s="3"/>
      <c r="H668" s="3"/>
      <c r="I668" s="3"/>
      <c r="J668" s="3"/>
      <c r="K668" s="3"/>
    </row>
    <row r="669" spans="1:11" hidden="1" x14ac:dyDescent="0.3">
      <c r="A669" s="3"/>
      <c r="B669" s="3"/>
      <c r="C669" s="3"/>
      <c r="D669" s="3"/>
      <c r="E669" s="3"/>
      <c r="F669" s="3"/>
      <c r="G669" s="3"/>
      <c r="H669" s="3"/>
      <c r="I669" s="3"/>
      <c r="J669" s="3"/>
      <c r="K669" s="3"/>
    </row>
    <row r="670" spans="1:11" hidden="1" x14ac:dyDescent="0.3">
      <c r="A670" s="3"/>
      <c r="B670" s="3"/>
      <c r="C670" s="3"/>
      <c r="D670" s="3"/>
      <c r="E670" s="3"/>
      <c r="F670" s="3"/>
      <c r="G670" s="3"/>
      <c r="H670" s="3"/>
      <c r="I670" s="3"/>
      <c r="J670" s="3"/>
      <c r="K670" s="3"/>
    </row>
    <row r="671" spans="1:11" hidden="1" x14ac:dyDescent="0.3">
      <c r="A671" s="3"/>
      <c r="B671" s="3"/>
      <c r="C671" s="3"/>
      <c r="D671" s="3"/>
      <c r="E671" s="3"/>
      <c r="F671" s="3"/>
      <c r="G671" s="3"/>
      <c r="H671" s="3"/>
      <c r="I671" s="3"/>
      <c r="J671" s="3"/>
      <c r="K671" s="3"/>
    </row>
    <row r="672" spans="1:11" hidden="1" x14ac:dyDescent="0.3">
      <c r="A672" s="3"/>
      <c r="B672" s="3"/>
      <c r="C672" s="3"/>
      <c r="D672" s="3"/>
      <c r="E672" s="3"/>
      <c r="F672" s="3"/>
      <c r="G672" s="3"/>
      <c r="H672" s="3"/>
      <c r="I672" s="3"/>
      <c r="J672" s="3"/>
      <c r="K672" s="3"/>
    </row>
    <row r="673" spans="1:11" hidden="1" x14ac:dyDescent="0.3">
      <c r="A673" s="3"/>
      <c r="B673" s="3"/>
      <c r="C673" s="3"/>
      <c r="D673" s="3"/>
      <c r="E673" s="3"/>
      <c r="F673" s="3"/>
      <c r="G673" s="3"/>
      <c r="H673" s="3"/>
      <c r="I673" s="3"/>
      <c r="J673" s="3"/>
      <c r="K673" s="3"/>
    </row>
    <row r="674" spans="1:11" hidden="1" x14ac:dyDescent="0.3">
      <c r="A674" s="3"/>
      <c r="B674" s="3"/>
      <c r="C674" s="3"/>
      <c r="D674" s="3"/>
      <c r="E674" s="3"/>
      <c r="F674" s="3"/>
      <c r="G674" s="3"/>
      <c r="H674" s="3"/>
      <c r="I674" s="3"/>
      <c r="J674" s="3"/>
      <c r="K674" s="3"/>
    </row>
    <row r="675" spans="1:11" hidden="1" x14ac:dyDescent="0.3">
      <c r="A675" s="3"/>
      <c r="B675" s="3"/>
      <c r="C675" s="3"/>
      <c r="D675" s="3"/>
      <c r="E675" s="3"/>
      <c r="F675" s="3"/>
      <c r="G675" s="3"/>
      <c r="H675" s="3"/>
      <c r="I675" s="3"/>
      <c r="J675" s="3"/>
      <c r="K675" s="3"/>
    </row>
    <row r="676" spans="1:11" hidden="1" x14ac:dyDescent="0.3">
      <c r="A676" s="3"/>
      <c r="B676" s="3"/>
      <c r="C676" s="3"/>
      <c r="D676" s="3"/>
      <c r="E676" s="3"/>
      <c r="F676" s="3"/>
      <c r="G676" s="3"/>
      <c r="H676" s="3"/>
      <c r="I676" s="3"/>
      <c r="J676" s="3"/>
      <c r="K676" s="3"/>
    </row>
    <row r="677" spans="1:11" hidden="1" x14ac:dyDescent="0.3">
      <c r="A677" s="3"/>
      <c r="B677" s="3"/>
      <c r="C677" s="3"/>
      <c r="D677" s="3"/>
      <c r="E677" s="3"/>
      <c r="F677" s="3"/>
      <c r="G677" s="3"/>
      <c r="H677" s="3"/>
      <c r="I677" s="3"/>
      <c r="J677" s="3"/>
      <c r="K677" s="3"/>
    </row>
    <row r="678" spans="1:11" hidden="1" x14ac:dyDescent="0.3">
      <c r="A678" s="3"/>
      <c r="B678" s="3"/>
      <c r="C678" s="3"/>
      <c r="D678" s="3"/>
      <c r="E678" s="3"/>
      <c r="F678" s="3"/>
      <c r="G678" s="3"/>
      <c r="H678" s="3"/>
      <c r="I678" s="3"/>
      <c r="J678" s="3"/>
      <c r="K678" s="3"/>
    </row>
    <row r="679" spans="1:11" hidden="1" x14ac:dyDescent="0.3">
      <c r="A679" s="3"/>
      <c r="B679" s="3"/>
      <c r="C679" s="3"/>
      <c r="D679" s="3"/>
      <c r="E679" s="3"/>
      <c r="F679" s="3"/>
      <c r="G679" s="3"/>
      <c r="H679" s="3"/>
      <c r="I679" s="3"/>
      <c r="J679" s="3"/>
      <c r="K679" s="3"/>
    </row>
    <row r="680" spans="1:11" hidden="1" x14ac:dyDescent="0.3">
      <c r="A680" s="3"/>
      <c r="B680" s="3"/>
      <c r="C680" s="3"/>
      <c r="D680" s="3"/>
      <c r="E680" s="3"/>
      <c r="F680" s="3"/>
      <c r="G680" s="3"/>
      <c r="H680" s="3"/>
      <c r="I680" s="3"/>
      <c r="J680" s="3"/>
      <c r="K680" s="3"/>
    </row>
    <row r="681" spans="1:11" hidden="1" x14ac:dyDescent="0.3">
      <c r="A681" s="3"/>
      <c r="B681" s="3"/>
      <c r="C681" s="3"/>
      <c r="D681" s="3"/>
      <c r="E681" s="3"/>
      <c r="F681" s="3"/>
      <c r="G681" s="3"/>
      <c r="H681" s="3"/>
      <c r="I681" s="3"/>
      <c r="J681" s="3"/>
      <c r="K681" s="3"/>
    </row>
    <row r="682" spans="1:11" hidden="1" x14ac:dyDescent="0.3">
      <c r="A682" s="3"/>
      <c r="B682" s="3"/>
      <c r="C682" s="3"/>
      <c r="D682" s="3"/>
      <c r="E682" s="3"/>
      <c r="F682" s="3"/>
      <c r="G682" s="3"/>
      <c r="H682" s="3"/>
      <c r="I682" s="3"/>
      <c r="J682" s="3"/>
      <c r="K682" s="3"/>
    </row>
    <row r="683" spans="1:11" hidden="1" x14ac:dyDescent="0.3">
      <c r="A683" s="3"/>
      <c r="B683" s="3"/>
      <c r="C683" s="3"/>
      <c r="D683" s="3"/>
      <c r="E683" s="3"/>
      <c r="F683" s="3"/>
      <c r="G683" s="3"/>
      <c r="H683" s="3"/>
      <c r="I683" s="3"/>
      <c r="J683" s="3"/>
      <c r="K683" s="3"/>
    </row>
    <row r="684" spans="1:11" hidden="1" x14ac:dyDescent="0.3">
      <c r="A684" s="3"/>
      <c r="B684" s="3"/>
      <c r="C684" s="3"/>
      <c r="D684" s="3"/>
      <c r="E684" s="3"/>
      <c r="F684" s="3"/>
      <c r="G684" s="3"/>
      <c r="H684" s="3"/>
      <c r="I684" s="3"/>
      <c r="J684" s="3"/>
      <c r="K684" s="3"/>
    </row>
    <row r="685" spans="1:11" hidden="1" x14ac:dyDescent="0.3">
      <c r="A685" s="3"/>
      <c r="B685" s="3"/>
      <c r="C685" s="3"/>
      <c r="D685" s="3"/>
      <c r="E685" s="3"/>
      <c r="F685" s="3"/>
      <c r="G685" s="3"/>
      <c r="H685" s="3"/>
      <c r="I685" s="3"/>
      <c r="J685" s="3"/>
      <c r="K685" s="3"/>
    </row>
    <row r="686" spans="1:11" hidden="1" x14ac:dyDescent="0.3">
      <c r="A686" s="3"/>
      <c r="B686" s="3"/>
      <c r="C686" s="3"/>
      <c r="D686" s="3"/>
      <c r="E686" s="3"/>
      <c r="F686" s="3"/>
      <c r="G686" s="3"/>
      <c r="H686" s="3"/>
      <c r="I686" s="3"/>
      <c r="J686" s="3"/>
      <c r="K686" s="3"/>
    </row>
    <row r="687" spans="1:11" hidden="1" x14ac:dyDescent="0.3">
      <c r="A687" s="3"/>
      <c r="B687" s="3"/>
      <c r="C687" s="3"/>
      <c r="D687" s="3"/>
      <c r="E687" s="3"/>
      <c r="F687" s="3"/>
      <c r="G687" s="3"/>
      <c r="H687" s="3"/>
      <c r="I687" s="3"/>
      <c r="J687" s="3"/>
      <c r="K687" s="3"/>
    </row>
    <row r="688" spans="1:11" hidden="1" x14ac:dyDescent="0.3">
      <c r="A688" s="3"/>
      <c r="B688" s="3"/>
      <c r="C688" s="3"/>
      <c r="D688" s="3"/>
      <c r="E688" s="3"/>
      <c r="F688" s="3"/>
      <c r="G688" s="3"/>
      <c r="H688" s="3"/>
      <c r="I688" s="3"/>
      <c r="J688" s="3"/>
      <c r="K688" s="3"/>
    </row>
    <row r="689" spans="1:11" hidden="1" x14ac:dyDescent="0.3">
      <c r="A689" s="3"/>
      <c r="B689" s="3"/>
      <c r="C689" s="3"/>
      <c r="D689" s="3"/>
      <c r="E689" s="3"/>
      <c r="F689" s="3"/>
      <c r="G689" s="3"/>
      <c r="H689" s="3"/>
      <c r="I689" s="3"/>
      <c r="J689" s="3"/>
      <c r="K689" s="3"/>
    </row>
    <row r="690" spans="1:11" hidden="1" x14ac:dyDescent="0.3">
      <c r="A690" s="3"/>
      <c r="B690" s="3"/>
      <c r="C690" s="3"/>
      <c r="D690" s="3"/>
      <c r="E690" s="3"/>
      <c r="F690" s="3"/>
      <c r="G690" s="3"/>
      <c r="H690" s="3"/>
      <c r="I690" s="3"/>
      <c r="J690" s="3"/>
      <c r="K690" s="3"/>
    </row>
    <row r="691" spans="1:11" hidden="1" x14ac:dyDescent="0.3">
      <c r="A691" s="3"/>
      <c r="B691" s="3"/>
      <c r="C691" s="3"/>
      <c r="D691" s="3"/>
      <c r="E691" s="3"/>
      <c r="F691" s="3"/>
      <c r="G691" s="3"/>
      <c r="H691" s="3"/>
      <c r="I691" s="3"/>
      <c r="J691" s="3"/>
      <c r="K691" s="3"/>
    </row>
    <row r="692" spans="1:11" hidden="1" x14ac:dyDescent="0.3">
      <c r="A692" s="3"/>
      <c r="B692" s="3"/>
      <c r="C692" s="3"/>
      <c r="D692" s="3"/>
      <c r="E692" s="3"/>
      <c r="F692" s="3"/>
      <c r="G692" s="3"/>
      <c r="H692" s="3"/>
      <c r="I692" s="3"/>
      <c r="J692" s="3"/>
      <c r="K692" s="3"/>
    </row>
    <row r="693" spans="1:11" hidden="1" x14ac:dyDescent="0.3">
      <c r="A693" s="3"/>
      <c r="B693" s="3"/>
      <c r="C693" s="3"/>
      <c r="D693" s="3"/>
      <c r="E693" s="3"/>
      <c r="F693" s="3"/>
      <c r="G693" s="3"/>
      <c r="H693" s="3"/>
      <c r="I693" s="3"/>
      <c r="J693" s="3"/>
      <c r="K693" s="3"/>
    </row>
    <row r="694" spans="1:11" hidden="1" x14ac:dyDescent="0.3">
      <c r="A694" s="3"/>
      <c r="B694" s="3"/>
      <c r="C694" s="3"/>
      <c r="D694" s="3"/>
      <c r="E694" s="3"/>
      <c r="F694" s="3"/>
      <c r="G694" s="3"/>
      <c r="H694" s="3"/>
      <c r="I694" s="3"/>
      <c r="J694" s="3"/>
      <c r="K694" s="3"/>
    </row>
    <row r="695" spans="1:11" hidden="1" x14ac:dyDescent="0.3">
      <c r="A695" s="3"/>
      <c r="B695" s="3"/>
      <c r="C695" s="3"/>
      <c r="D695" s="3"/>
      <c r="E695" s="3"/>
      <c r="F695" s="3"/>
      <c r="G695" s="3"/>
      <c r="H695" s="3"/>
      <c r="I695" s="3"/>
      <c r="J695" s="3"/>
      <c r="K695" s="3"/>
    </row>
    <row r="696" spans="1:11" hidden="1" x14ac:dyDescent="0.3">
      <c r="A696" s="3"/>
      <c r="B696" s="3"/>
      <c r="C696" s="3"/>
      <c r="D696" s="3"/>
      <c r="E696" s="3"/>
      <c r="F696" s="3"/>
      <c r="G696" s="3"/>
      <c r="H696" s="3"/>
      <c r="I696" s="3"/>
      <c r="J696" s="3"/>
      <c r="K696" s="3"/>
    </row>
    <row r="697" spans="1:11" hidden="1" x14ac:dyDescent="0.3">
      <c r="A697" s="3"/>
      <c r="B697" s="3"/>
      <c r="C697" s="3"/>
      <c r="D697" s="3"/>
      <c r="E697" s="3"/>
      <c r="F697" s="3"/>
      <c r="G697" s="3"/>
      <c r="H697" s="3"/>
      <c r="I697" s="3"/>
      <c r="J697" s="3"/>
      <c r="K697" s="3"/>
    </row>
    <row r="698" spans="1:11" hidden="1" x14ac:dyDescent="0.3">
      <c r="A698" s="3"/>
      <c r="B698" s="3"/>
      <c r="C698" s="3"/>
      <c r="D698" s="3"/>
      <c r="E698" s="3"/>
      <c r="F698" s="3"/>
      <c r="G698" s="3"/>
      <c r="H698" s="3"/>
      <c r="I698" s="3"/>
      <c r="J698" s="3"/>
      <c r="K698" s="3"/>
    </row>
    <row r="699" spans="1:11" hidden="1" x14ac:dyDescent="0.3">
      <c r="A699" s="3"/>
      <c r="B699" s="3"/>
      <c r="C699" s="3"/>
      <c r="D699" s="3"/>
      <c r="E699" s="3"/>
      <c r="F699" s="3"/>
      <c r="G699" s="3"/>
      <c r="H699" s="3"/>
      <c r="I699" s="3"/>
      <c r="J699" s="3"/>
      <c r="K699" s="3"/>
    </row>
    <row r="700" spans="1:11" hidden="1" x14ac:dyDescent="0.3">
      <c r="A700" s="3"/>
      <c r="B700" s="3"/>
      <c r="C700" s="3"/>
      <c r="D700" s="3"/>
      <c r="E700" s="3"/>
      <c r="F700" s="3"/>
      <c r="G700" s="3"/>
      <c r="H700" s="3"/>
      <c r="I700" s="3"/>
      <c r="J700" s="3"/>
      <c r="K700" s="3"/>
    </row>
    <row r="701" spans="1:11" hidden="1" x14ac:dyDescent="0.3">
      <c r="A701" s="3"/>
      <c r="B701" s="3"/>
      <c r="C701" s="3"/>
      <c r="D701" s="3"/>
      <c r="E701" s="3"/>
      <c r="F701" s="3"/>
      <c r="G701" s="3"/>
      <c r="H701" s="3"/>
      <c r="I701" s="3"/>
      <c r="J701" s="3"/>
      <c r="K701" s="3"/>
    </row>
    <row r="702" spans="1:11" hidden="1" x14ac:dyDescent="0.3">
      <c r="A702" s="3"/>
      <c r="B702" s="3"/>
      <c r="C702" s="3"/>
      <c r="D702" s="3"/>
      <c r="E702" s="3"/>
      <c r="F702" s="3"/>
      <c r="G702" s="3"/>
      <c r="H702" s="3"/>
      <c r="I702" s="3"/>
      <c r="J702" s="3"/>
      <c r="K702" s="3"/>
    </row>
    <row r="703" spans="1:11" hidden="1" x14ac:dyDescent="0.3">
      <c r="A703" s="3"/>
      <c r="B703" s="3"/>
      <c r="C703" s="3"/>
      <c r="D703" s="3"/>
      <c r="E703" s="3"/>
      <c r="F703" s="3"/>
      <c r="G703" s="3"/>
      <c r="H703" s="3"/>
      <c r="I703" s="3"/>
      <c r="J703" s="3"/>
      <c r="K703" s="3"/>
    </row>
    <row r="704" spans="1:11" hidden="1" x14ac:dyDescent="0.3">
      <c r="A704" s="3"/>
      <c r="B704" s="3"/>
      <c r="C704" s="3"/>
      <c r="D704" s="3"/>
      <c r="E704" s="3"/>
      <c r="F704" s="3"/>
      <c r="G704" s="3"/>
      <c r="H704" s="3"/>
      <c r="I704" s="3"/>
      <c r="J704" s="3"/>
      <c r="K704" s="3"/>
    </row>
    <row r="705" spans="1:11" hidden="1" x14ac:dyDescent="0.3">
      <c r="A705" s="3"/>
      <c r="B705" s="3"/>
      <c r="C705" s="3"/>
      <c r="D705" s="3"/>
      <c r="E705" s="3"/>
      <c r="F705" s="3"/>
      <c r="G705" s="3"/>
      <c r="H705" s="3"/>
      <c r="I705" s="3"/>
      <c r="J705" s="3"/>
      <c r="K705" s="3"/>
    </row>
    <row r="706" spans="1:11" hidden="1" x14ac:dyDescent="0.3">
      <c r="A706" s="3"/>
      <c r="B706" s="3"/>
      <c r="C706" s="3"/>
      <c r="D706" s="3"/>
      <c r="E706" s="3"/>
      <c r="F706" s="3"/>
      <c r="G706" s="3"/>
      <c r="H706" s="3"/>
      <c r="I706" s="3"/>
      <c r="J706" s="3"/>
      <c r="K706" s="3"/>
    </row>
    <row r="707" spans="1:11" hidden="1" x14ac:dyDescent="0.3">
      <c r="A707" s="3"/>
      <c r="B707" s="3"/>
      <c r="C707" s="3"/>
      <c r="D707" s="3"/>
      <c r="E707" s="3"/>
      <c r="F707" s="3"/>
      <c r="G707" s="3"/>
      <c r="H707" s="3"/>
      <c r="I707" s="3"/>
      <c r="J707" s="3"/>
      <c r="K707" s="3"/>
    </row>
    <row r="708" spans="1:11" hidden="1" x14ac:dyDescent="0.3">
      <c r="A708" s="3"/>
      <c r="B708" s="3"/>
      <c r="C708" s="3"/>
      <c r="D708" s="3"/>
      <c r="E708" s="3"/>
      <c r="F708" s="3"/>
      <c r="G708" s="3"/>
      <c r="H708" s="3"/>
      <c r="I708" s="3"/>
      <c r="J708" s="3"/>
      <c r="K708" s="3"/>
    </row>
    <row r="709" spans="1:11" hidden="1" x14ac:dyDescent="0.3">
      <c r="A709" s="3"/>
      <c r="B709" s="3"/>
      <c r="C709" s="3"/>
      <c r="D709" s="3"/>
      <c r="E709" s="3"/>
      <c r="F709" s="3"/>
      <c r="G709" s="3"/>
      <c r="H709" s="3"/>
      <c r="I709" s="3"/>
      <c r="J709" s="3"/>
      <c r="K709" s="3"/>
    </row>
    <row r="710" spans="1:11" hidden="1" x14ac:dyDescent="0.3">
      <c r="A710" s="3"/>
      <c r="B710" s="3"/>
      <c r="C710" s="3"/>
      <c r="D710" s="3"/>
      <c r="E710" s="3"/>
      <c r="F710" s="3"/>
      <c r="G710" s="3"/>
      <c r="H710" s="3"/>
      <c r="I710" s="3"/>
      <c r="J710" s="3"/>
      <c r="K710" s="3"/>
    </row>
    <row r="711" spans="1:11" hidden="1" x14ac:dyDescent="0.3">
      <c r="A711" s="3"/>
      <c r="B711" s="3"/>
      <c r="C711" s="3"/>
      <c r="D711" s="3"/>
      <c r="E711" s="3"/>
      <c r="F711" s="3"/>
      <c r="G711" s="3"/>
      <c r="H711" s="3"/>
      <c r="I711" s="3"/>
      <c r="J711" s="3"/>
      <c r="K711" s="3"/>
    </row>
    <row r="712" spans="1:11" hidden="1" x14ac:dyDescent="0.3">
      <c r="A712" s="3"/>
      <c r="B712" s="3"/>
      <c r="C712" s="3"/>
      <c r="D712" s="3"/>
      <c r="E712" s="3"/>
      <c r="F712" s="3"/>
      <c r="G712" s="3"/>
      <c r="H712" s="3"/>
      <c r="I712" s="3"/>
      <c r="J712" s="3"/>
      <c r="K712" s="3"/>
    </row>
    <row r="713" spans="1:11" hidden="1" x14ac:dyDescent="0.3">
      <c r="A713" s="3"/>
      <c r="B713" s="3"/>
      <c r="C713" s="3"/>
      <c r="D713" s="3"/>
      <c r="E713" s="3"/>
      <c r="F713" s="3"/>
      <c r="G713" s="3"/>
      <c r="H713" s="3"/>
      <c r="I713" s="3"/>
      <c r="J713" s="3"/>
      <c r="K713" s="3"/>
    </row>
    <row r="714" spans="1:11" hidden="1" x14ac:dyDescent="0.3">
      <c r="A714" s="3"/>
      <c r="B714" s="3"/>
      <c r="C714" s="3"/>
      <c r="D714" s="3"/>
      <c r="E714" s="3"/>
      <c r="F714" s="3"/>
      <c r="G714" s="3"/>
      <c r="H714" s="3"/>
      <c r="I714" s="3"/>
      <c r="J714" s="3"/>
      <c r="K714" s="3"/>
    </row>
    <row r="715" spans="1:11" hidden="1" x14ac:dyDescent="0.3">
      <c r="A715" s="3"/>
      <c r="B715" s="3"/>
      <c r="C715" s="3"/>
      <c r="D715" s="3"/>
      <c r="E715" s="3"/>
      <c r="F715" s="3"/>
      <c r="G715" s="3"/>
      <c r="H715" s="3"/>
      <c r="I715" s="3"/>
      <c r="J715" s="3"/>
      <c r="K715" s="3"/>
    </row>
    <row r="716" spans="1:11" hidden="1" x14ac:dyDescent="0.3">
      <c r="A716" s="3"/>
      <c r="B716" s="3"/>
      <c r="C716" s="3"/>
      <c r="D716" s="3"/>
      <c r="E716" s="3"/>
      <c r="F716" s="3"/>
      <c r="G716" s="3"/>
      <c r="H716" s="3"/>
      <c r="I716" s="3"/>
      <c r="J716" s="3"/>
      <c r="K716" s="3"/>
    </row>
    <row r="717" spans="1:11" hidden="1" x14ac:dyDescent="0.3">
      <c r="A717" s="3"/>
      <c r="B717" s="3"/>
      <c r="C717" s="3"/>
      <c r="D717" s="3"/>
      <c r="E717" s="3"/>
      <c r="F717" s="3"/>
      <c r="G717" s="3"/>
      <c r="H717" s="3"/>
      <c r="I717" s="3"/>
      <c r="J717" s="3"/>
      <c r="K717" s="3"/>
    </row>
    <row r="718" spans="1:11" hidden="1" x14ac:dyDescent="0.3">
      <c r="A718" s="3"/>
      <c r="B718" s="3"/>
      <c r="C718" s="3"/>
      <c r="D718" s="3"/>
      <c r="E718" s="3"/>
      <c r="F718" s="3"/>
      <c r="G718" s="3"/>
      <c r="H718" s="3"/>
      <c r="I718" s="3"/>
      <c r="J718" s="3"/>
      <c r="K718" s="3"/>
    </row>
    <row r="719" spans="1:11" hidden="1" x14ac:dyDescent="0.3">
      <c r="A719" s="3"/>
      <c r="B719" s="3"/>
      <c r="C719" s="3"/>
      <c r="D719" s="3"/>
      <c r="E719" s="3"/>
      <c r="F719" s="3"/>
      <c r="G719" s="3"/>
      <c r="H719" s="3"/>
      <c r="I719" s="3"/>
      <c r="J719" s="3"/>
      <c r="K719" s="3"/>
    </row>
    <row r="720" spans="1:11" hidden="1" x14ac:dyDescent="0.3">
      <c r="A720" s="3"/>
      <c r="B720" s="3"/>
      <c r="C720" s="3"/>
      <c r="D720" s="3"/>
      <c r="E720" s="3"/>
      <c r="F720" s="3"/>
      <c r="G720" s="3"/>
      <c r="H720" s="3"/>
      <c r="I720" s="3"/>
      <c r="J720" s="3"/>
      <c r="K720" s="3"/>
    </row>
    <row r="721" spans="1:11" hidden="1" x14ac:dyDescent="0.3">
      <c r="A721" s="3"/>
      <c r="B721" s="3"/>
      <c r="C721" s="3"/>
      <c r="D721" s="3"/>
      <c r="E721" s="3"/>
      <c r="F721" s="3"/>
      <c r="G721" s="3"/>
      <c r="H721" s="3"/>
      <c r="I721" s="3"/>
      <c r="J721" s="3"/>
      <c r="K721" s="3"/>
    </row>
    <row r="722" spans="1:11" hidden="1" x14ac:dyDescent="0.3">
      <c r="A722" s="3"/>
      <c r="B722" s="3"/>
      <c r="C722" s="3"/>
      <c r="D722" s="3"/>
      <c r="E722" s="3"/>
      <c r="F722" s="3"/>
      <c r="G722" s="3"/>
      <c r="H722" s="3"/>
      <c r="I722" s="3"/>
      <c r="J722" s="3"/>
      <c r="K722" s="3"/>
    </row>
    <row r="723" spans="1:11" hidden="1" x14ac:dyDescent="0.3">
      <c r="A723" s="3"/>
      <c r="B723" s="3"/>
      <c r="C723" s="3"/>
      <c r="D723" s="3"/>
      <c r="E723" s="3"/>
      <c r="F723" s="3"/>
      <c r="G723" s="3"/>
      <c r="H723" s="3"/>
      <c r="I723" s="3"/>
      <c r="J723" s="3"/>
      <c r="K723" s="3"/>
    </row>
    <row r="724" spans="1:11" hidden="1" x14ac:dyDescent="0.3">
      <c r="A724" s="3"/>
      <c r="B724" s="3"/>
      <c r="C724" s="3"/>
      <c r="D724" s="3"/>
      <c r="E724" s="3"/>
      <c r="F724" s="3"/>
      <c r="G724" s="3"/>
      <c r="H724" s="3"/>
      <c r="I724" s="3"/>
      <c r="J724" s="3"/>
      <c r="K724" s="3"/>
    </row>
    <row r="725" spans="1:11" hidden="1" x14ac:dyDescent="0.3">
      <c r="A725" s="3"/>
      <c r="B725" s="3"/>
      <c r="C725" s="3"/>
      <c r="D725" s="3"/>
      <c r="E725" s="3"/>
      <c r="F725" s="3"/>
      <c r="G725" s="3"/>
      <c r="H725" s="3"/>
      <c r="I725" s="3"/>
      <c r="J725" s="3"/>
      <c r="K725" s="3"/>
    </row>
    <row r="726" spans="1:11" hidden="1" x14ac:dyDescent="0.3">
      <c r="A726" s="3"/>
      <c r="B726" s="3"/>
      <c r="C726" s="3"/>
      <c r="D726" s="3"/>
      <c r="E726" s="3"/>
      <c r="F726" s="3"/>
      <c r="G726" s="3"/>
      <c r="H726" s="3"/>
      <c r="I726" s="3"/>
      <c r="J726" s="3"/>
      <c r="K726" s="3"/>
    </row>
    <row r="727" spans="1:11" hidden="1" x14ac:dyDescent="0.3">
      <c r="A727" s="3"/>
      <c r="B727" s="3"/>
      <c r="C727" s="3"/>
      <c r="D727" s="3"/>
      <c r="E727" s="3"/>
      <c r="F727" s="3"/>
      <c r="G727" s="3"/>
      <c r="H727" s="3"/>
      <c r="I727" s="3"/>
      <c r="J727" s="3"/>
      <c r="K727" s="3"/>
    </row>
    <row r="728" spans="1:11" hidden="1" x14ac:dyDescent="0.3">
      <c r="A728" s="3"/>
      <c r="B728" s="3"/>
      <c r="C728" s="3"/>
      <c r="D728" s="3"/>
      <c r="E728" s="3"/>
      <c r="F728" s="3"/>
      <c r="G728" s="3"/>
      <c r="H728" s="3"/>
      <c r="I728" s="3"/>
      <c r="J728" s="3"/>
      <c r="K728" s="3"/>
    </row>
    <row r="729" spans="1:11" hidden="1" x14ac:dyDescent="0.3">
      <c r="A729" s="3"/>
      <c r="B729" s="3"/>
      <c r="C729" s="3"/>
      <c r="D729" s="3"/>
      <c r="E729" s="3"/>
      <c r="F729" s="3"/>
      <c r="G729" s="3"/>
      <c r="H729" s="3"/>
      <c r="I729" s="3"/>
      <c r="J729" s="3"/>
      <c r="K729" s="3"/>
    </row>
    <row r="730" spans="1:11" hidden="1" x14ac:dyDescent="0.3">
      <c r="A730" s="3"/>
      <c r="B730" s="3"/>
      <c r="C730" s="3"/>
      <c r="D730" s="3"/>
      <c r="E730" s="3"/>
      <c r="F730" s="3"/>
      <c r="G730" s="3"/>
      <c r="H730" s="3"/>
      <c r="I730" s="3"/>
      <c r="J730" s="3"/>
      <c r="K730" s="3"/>
    </row>
    <row r="731" spans="1:11" hidden="1" x14ac:dyDescent="0.3">
      <c r="A731" s="3"/>
      <c r="B731" s="3"/>
      <c r="C731" s="3"/>
      <c r="D731" s="3"/>
      <c r="E731" s="3"/>
      <c r="F731" s="3"/>
      <c r="G731" s="3"/>
      <c r="H731" s="3"/>
      <c r="I731" s="3"/>
      <c r="J731" s="3"/>
      <c r="K731" s="3"/>
    </row>
    <row r="732" spans="1:11" hidden="1" x14ac:dyDescent="0.3">
      <c r="A732" s="3"/>
      <c r="B732" s="3"/>
      <c r="C732" s="3"/>
      <c r="D732" s="3"/>
      <c r="E732" s="3"/>
      <c r="F732" s="3"/>
      <c r="G732" s="3"/>
      <c r="H732" s="3"/>
      <c r="I732" s="3"/>
      <c r="J732" s="3"/>
      <c r="K732" s="3"/>
    </row>
    <row r="733" spans="1:11" hidden="1" x14ac:dyDescent="0.3">
      <c r="A733" s="3"/>
      <c r="B733" s="3"/>
      <c r="C733" s="3"/>
      <c r="D733" s="3"/>
      <c r="E733" s="3"/>
      <c r="F733" s="3"/>
      <c r="G733" s="3"/>
      <c r="H733" s="3"/>
      <c r="I733" s="3"/>
      <c r="J733" s="3"/>
      <c r="K733" s="3"/>
    </row>
    <row r="734" spans="1:11" hidden="1" x14ac:dyDescent="0.3">
      <c r="A734" s="3"/>
      <c r="B734" s="3"/>
      <c r="C734" s="3"/>
      <c r="D734" s="3"/>
      <c r="E734" s="3"/>
      <c r="F734" s="3"/>
      <c r="G734" s="3"/>
      <c r="H734" s="3"/>
      <c r="I734" s="3"/>
      <c r="J734" s="3"/>
      <c r="K734" s="3"/>
    </row>
    <row r="735" spans="1:11" hidden="1" x14ac:dyDescent="0.3">
      <c r="A735" s="3"/>
      <c r="B735" s="3"/>
      <c r="C735" s="3"/>
      <c r="D735" s="3"/>
      <c r="E735" s="3"/>
      <c r="F735" s="3"/>
      <c r="G735" s="3"/>
      <c r="H735" s="3"/>
      <c r="I735" s="3"/>
      <c r="J735" s="3"/>
      <c r="K735" s="3"/>
    </row>
    <row r="736" spans="1:11" hidden="1" x14ac:dyDescent="0.3">
      <c r="A736" s="3"/>
      <c r="B736" s="3"/>
      <c r="C736" s="3"/>
      <c r="D736" s="3"/>
      <c r="E736" s="3"/>
      <c r="F736" s="3"/>
      <c r="G736" s="3"/>
      <c r="H736" s="3"/>
      <c r="I736" s="3"/>
      <c r="J736" s="3"/>
      <c r="K736" s="3"/>
    </row>
    <row r="737" spans="1:11" hidden="1" x14ac:dyDescent="0.3">
      <c r="A737" s="3"/>
      <c r="B737" s="3"/>
      <c r="C737" s="3"/>
      <c r="D737" s="3"/>
      <c r="E737" s="3"/>
      <c r="F737" s="3"/>
      <c r="G737" s="3"/>
      <c r="H737" s="3"/>
      <c r="I737" s="3"/>
      <c r="J737" s="3"/>
      <c r="K737" s="3"/>
    </row>
    <row r="738" spans="1:11" hidden="1" x14ac:dyDescent="0.3">
      <c r="A738" s="3"/>
      <c r="B738" s="3"/>
      <c r="C738" s="3"/>
      <c r="D738" s="3"/>
      <c r="E738" s="3"/>
      <c r="F738" s="3"/>
      <c r="G738" s="3"/>
      <c r="H738" s="3"/>
      <c r="I738" s="3"/>
      <c r="J738" s="3"/>
      <c r="K738" s="3"/>
    </row>
    <row r="739" spans="1:11" hidden="1" x14ac:dyDescent="0.3">
      <c r="A739" s="3"/>
      <c r="B739" s="3"/>
      <c r="C739" s="3"/>
      <c r="D739" s="3"/>
      <c r="E739" s="3"/>
      <c r="F739" s="3"/>
      <c r="G739" s="3"/>
      <c r="H739" s="3"/>
      <c r="I739" s="3"/>
      <c r="J739" s="3"/>
      <c r="K739" s="3"/>
    </row>
    <row r="740" spans="1:11" hidden="1" x14ac:dyDescent="0.3">
      <c r="A740" s="3"/>
      <c r="B740" s="3"/>
      <c r="C740" s="3"/>
      <c r="D740" s="3"/>
      <c r="E740" s="3"/>
      <c r="F740" s="3"/>
      <c r="G740" s="3"/>
      <c r="H740" s="3"/>
      <c r="I740" s="3"/>
      <c r="J740" s="3"/>
      <c r="K740" s="3"/>
    </row>
    <row r="741" spans="1:11" hidden="1" x14ac:dyDescent="0.3">
      <c r="A741" s="3"/>
      <c r="B741" s="3"/>
      <c r="C741" s="3"/>
      <c r="D741" s="3"/>
      <c r="E741" s="3"/>
      <c r="F741" s="3"/>
      <c r="G741" s="3"/>
      <c r="H741" s="3"/>
      <c r="I741" s="3"/>
      <c r="J741" s="3"/>
      <c r="K741" s="3"/>
    </row>
    <row r="742" spans="1:11" hidden="1" x14ac:dyDescent="0.3">
      <c r="A742" s="3"/>
      <c r="B742" s="3"/>
      <c r="C742" s="3"/>
      <c r="D742" s="3"/>
      <c r="E742" s="3"/>
      <c r="F742" s="3"/>
      <c r="G742" s="3"/>
      <c r="H742" s="3"/>
      <c r="I742" s="3"/>
      <c r="J742" s="3"/>
      <c r="K742" s="3"/>
    </row>
    <row r="743" spans="1:11" hidden="1" x14ac:dyDescent="0.3">
      <c r="A743" s="3"/>
      <c r="B743" s="3"/>
      <c r="C743" s="3"/>
      <c r="D743" s="3"/>
      <c r="E743" s="3"/>
      <c r="F743" s="3"/>
      <c r="G743" s="3"/>
      <c r="H743" s="3"/>
      <c r="I743" s="3"/>
      <c r="J743" s="3"/>
      <c r="K743" s="3"/>
    </row>
    <row r="744" spans="1:11" hidden="1" x14ac:dyDescent="0.3">
      <c r="A744" s="3"/>
      <c r="B744" s="3"/>
      <c r="C744" s="3"/>
      <c r="D744" s="3"/>
      <c r="E744" s="3"/>
      <c r="F744" s="3"/>
      <c r="G744" s="3"/>
      <c r="H744" s="3"/>
      <c r="I744" s="3"/>
      <c r="J744" s="3"/>
      <c r="K744" s="3"/>
    </row>
    <row r="745" spans="1:11" hidden="1" x14ac:dyDescent="0.3">
      <c r="A745" s="3"/>
      <c r="B745" s="3"/>
      <c r="C745" s="3"/>
      <c r="D745" s="3"/>
      <c r="E745" s="3"/>
      <c r="F745" s="3"/>
      <c r="G745" s="3"/>
      <c r="H745" s="3"/>
      <c r="I745" s="3"/>
      <c r="J745" s="3"/>
      <c r="K745" s="3"/>
    </row>
    <row r="746" spans="1:11" hidden="1" x14ac:dyDescent="0.3">
      <c r="A746" s="3"/>
      <c r="B746" s="3"/>
      <c r="C746" s="3"/>
      <c r="D746" s="3"/>
      <c r="E746" s="3"/>
      <c r="F746" s="3"/>
      <c r="G746" s="3"/>
      <c r="H746" s="3"/>
      <c r="I746" s="3"/>
      <c r="J746" s="3"/>
      <c r="K746" s="3"/>
    </row>
    <row r="747" spans="1:11" hidden="1" x14ac:dyDescent="0.3">
      <c r="A747" s="3"/>
      <c r="B747" s="3"/>
      <c r="C747" s="3"/>
      <c r="D747" s="3"/>
      <c r="E747" s="3"/>
      <c r="F747" s="3"/>
      <c r="G747" s="3"/>
      <c r="H747" s="3"/>
      <c r="I747" s="3"/>
      <c r="J747" s="3"/>
      <c r="K747" s="3"/>
    </row>
    <row r="748" spans="1:11" hidden="1" x14ac:dyDescent="0.3">
      <c r="A748" s="3"/>
      <c r="B748" s="3"/>
      <c r="C748" s="3"/>
      <c r="D748" s="3"/>
      <c r="E748" s="3"/>
      <c r="F748" s="3"/>
      <c r="G748" s="3"/>
      <c r="H748" s="3"/>
      <c r="I748" s="3"/>
      <c r="J748" s="3"/>
      <c r="K748" s="3"/>
    </row>
    <row r="749" spans="1:11" hidden="1" x14ac:dyDescent="0.3">
      <c r="A749" s="3"/>
      <c r="B749" s="3"/>
      <c r="C749" s="3"/>
      <c r="D749" s="3"/>
      <c r="E749" s="3"/>
      <c r="F749" s="3"/>
      <c r="G749" s="3"/>
      <c r="H749" s="3"/>
      <c r="I749" s="3"/>
      <c r="J749" s="3"/>
      <c r="K749" s="3"/>
    </row>
    <row r="750" spans="1:11" hidden="1" x14ac:dyDescent="0.3">
      <c r="A750" s="3"/>
      <c r="B750" s="3"/>
      <c r="C750" s="3"/>
      <c r="D750" s="3"/>
      <c r="E750" s="3"/>
      <c r="F750" s="3"/>
      <c r="G750" s="3"/>
      <c r="H750" s="3"/>
      <c r="I750" s="3"/>
      <c r="J750" s="3"/>
      <c r="K750" s="3"/>
    </row>
    <row r="751" spans="1:11" hidden="1" x14ac:dyDescent="0.3">
      <c r="A751" s="3"/>
      <c r="B751" s="3"/>
      <c r="C751" s="3"/>
      <c r="D751" s="3"/>
      <c r="E751" s="3"/>
      <c r="F751" s="3"/>
      <c r="G751" s="3"/>
      <c r="H751" s="3"/>
      <c r="I751" s="3"/>
      <c r="J751" s="3"/>
      <c r="K751" s="3"/>
    </row>
    <row r="752" spans="1:11" hidden="1" x14ac:dyDescent="0.3">
      <c r="A752" s="3"/>
      <c r="B752" s="3"/>
      <c r="C752" s="3"/>
      <c r="D752" s="3"/>
      <c r="E752" s="3"/>
      <c r="F752" s="3"/>
      <c r="G752" s="3"/>
      <c r="H752" s="3"/>
      <c r="I752" s="3"/>
      <c r="J752" s="3"/>
      <c r="K752" s="3"/>
    </row>
    <row r="753" spans="1:11" hidden="1" x14ac:dyDescent="0.3">
      <c r="A753" s="3"/>
      <c r="B753" s="3"/>
      <c r="C753" s="3"/>
      <c r="D753" s="3"/>
      <c r="E753" s="3"/>
      <c r="F753" s="3"/>
      <c r="G753" s="3"/>
      <c r="H753" s="3"/>
      <c r="I753" s="3"/>
      <c r="J753" s="3"/>
      <c r="K753" s="3"/>
    </row>
    <row r="754" spans="1:11" hidden="1" x14ac:dyDescent="0.3">
      <c r="A754" s="3"/>
      <c r="B754" s="3"/>
      <c r="C754" s="3"/>
      <c r="D754" s="3"/>
      <c r="E754" s="3"/>
      <c r="F754" s="3"/>
      <c r="G754" s="3"/>
      <c r="H754" s="3"/>
      <c r="I754" s="3"/>
      <c r="J754" s="3"/>
      <c r="K754" s="3"/>
    </row>
    <row r="755" spans="1:11" hidden="1" x14ac:dyDescent="0.3">
      <c r="A755" s="3"/>
      <c r="B755" s="3"/>
      <c r="C755" s="3"/>
      <c r="D755" s="3"/>
      <c r="E755" s="3"/>
      <c r="F755" s="3"/>
      <c r="G755" s="3"/>
      <c r="H755" s="3"/>
      <c r="I755" s="3"/>
      <c r="J755" s="3"/>
      <c r="K755" s="3"/>
    </row>
    <row r="756" spans="1:11" hidden="1" x14ac:dyDescent="0.3">
      <c r="A756" s="3"/>
      <c r="B756" s="3"/>
      <c r="C756" s="3"/>
      <c r="D756" s="3"/>
      <c r="E756" s="3"/>
      <c r="F756" s="3"/>
      <c r="G756" s="3"/>
      <c r="H756" s="3"/>
      <c r="I756" s="3"/>
      <c r="J756" s="3"/>
      <c r="K756" s="3"/>
    </row>
    <row r="757" spans="1:11" hidden="1" x14ac:dyDescent="0.3">
      <c r="A757" s="3"/>
      <c r="B757" s="3"/>
      <c r="C757" s="3"/>
      <c r="D757" s="3"/>
      <c r="E757" s="3"/>
      <c r="F757" s="3"/>
      <c r="G757" s="3"/>
      <c r="H757" s="3"/>
      <c r="I757" s="3"/>
      <c r="J757" s="3"/>
      <c r="K757" s="3"/>
    </row>
    <row r="758" spans="1:11" hidden="1" x14ac:dyDescent="0.3">
      <c r="A758" s="3"/>
      <c r="B758" s="3"/>
      <c r="C758" s="3"/>
      <c r="D758" s="3"/>
      <c r="E758" s="3"/>
      <c r="F758" s="3"/>
      <c r="G758" s="3"/>
      <c r="H758" s="3"/>
      <c r="I758" s="3"/>
      <c r="J758" s="3"/>
      <c r="K758" s="3"/>
    </row>
    <row r="759" spans="1:11" hidden="1" x14ac:dyDescent="0.3">
      <c r="A759" s="3"/>
      <c r="B759" s="3"/>
      <c r="C759" s="3"/>
      <c r="D759" s="3"/>
      <c r="E759" s="3"/>
      <c r="F759" s="3"/>
      <c r="G759" s="3"/>
      <c r="H759" s="3"/>
      <c r="I759" s="3"/>
      <c r="J759" s="3"/>
      <c r="K759" s="3"/>
    </row>
    <row r="760" spans="1:11" hidden="1" x14ac:dyDescent="0.3">
      <c r="A760" s="3"/>
      <c r="B760" s="3"/>
      <c r="C760" s="3"/>
      <c r="D760" s="3"/>
      <c r="E760" s="3"/>
      <c r="F760" s="3"/>
      <c r="G760" s="3"/>
      <c r="H760" s="3"/>
      <c r="I760" s="3"/>
      <c r="J760" s="3"/>
      <c r="K760" s="3"/>
    </row>
    <row r="761" spans="1:11" hidden="1" x14ac:dyDescent="0.3">
      <c r="A761" s="3"/>
      <c r="B761" s="3"/>
      <c r="C761" s="3"/>
      <c r="D761" s="3"/>
      <c r="E761" s="3"/>
      <c r="F761" s="3"/>
      <c r="G761" s="3"/>
      <c r="H761" s="3"/>
      <c r="I761" s="3"/>
      <c r="J761" s="3"/>
      <c r="K761" s="3"/>
    </row>
    <row r="762" spans="1:11" hidden="1" x14ac:dyDescent="0.3">
      <c r="A762" s="3"/>
      <c r="B762" s="3"/>
      <c r="C762" s="3"/>
      <c r="D762" s="3"/>
      <c r="E762" s="3"/>
      <c r="F762" s="3"/>
      <c r="G762" s="3"/>
      <c r="H762" s="3"/>
      <c r="I762" s="3"/>
      <c r="J762" s="3"/>
      <c r="K762" s="3"/>
    </row>
    <row r="763" spans="1:11" hidden="1" x14ac:dyDescent="0.3">
      <c r="A763" s="3"/>
      <c r="B763" s="3"/>
      <c r="C763" s="3"/>
      <c r="D763" s="3"/>
      <c r="E763" s="3"/>
      <c r="F763" s="3"/>
      <c r="G763" s="3"/>
      <c r="H763" s="3"/>
      <c r="I763" s="3"/>
      <c r="J763" s="3"/>
      <c r="K763" s="3"/>
    </row>
    <row r="764" spans="1:11" hidden="1" x14ac:dyDescent="0.3">
      <c r="A764" s="3"/>
      <c r="B764" s="3"/>
      <c r="C764" s="3"/>
      <c r="D764" s="3"/>
      <c r="E764" s="3"/>
      <c r="F764" s="3"/>
      <c r="G764" s="3"/>
      <c r="H764" s="3"/>
      <c r="I764" s="3"/>
      <c r="J764" s="3"/>
      <c r="K764" s="3"/>
    </row>
    <row r="765" spans="1:11" hidden="1" x14ac:dyDescent="0.3">
      <c r="A765" s="3"/>
      <c r="B765" s="3"/>
      <c r="C765" s="3"/>
      <c r="D765" s="3"/>
      <c r="E765" s="3"/>
      <c r="F765" s="3"/>
      <c r="G765" s="3"/>
      <c r="H765" s="3"/>
      <c r="I765" s="3"/>
      <c r="J765" s="3"/>
      <c r="K765" s="3"/>
    </row>
    <row r="766" spans="1:11" hidden="1" x14ac:dyDescent="0.3">
      <c r="A766" s="3"/>
      <c r="B766" s="3"/>
      <c r="C766" s="3"/>
      <c r="D766" s="3"/>
      <c r="E766" s="3"/>
      <c r="F766" s="3"/>
      <c r="G766" s="3"/>
      <c r="H766" s="3"/>
      <c r="I766" s="3"/>
      <c r="J766" s="3"/>
      <c r="K766" s="3"/>
    </row>
    <row r="767" spans="1:11" hidden="1" x14ac:dyDescent="0.3">
      <c r="A767" s="3"/>
      <c r="B767" s="3"/>
      <c r="C767" s="3"/>
      <c r="D767" s="3"/>
      <c r="E767" s="3"/>
      <c r="F767" s="3"/>
      <c r="G767" s="3"/>
      <c r="H767" s="3"/>
      <c r="I767" s="3"/>
      <c r="J767" s="3"/>
      <c r="K767" s="3"/>
    </row>
    <row r="768" spans="1:11" hidden="1" x14ac:dyDescent="0.3">
      <c r="A768" s="3"/>
      <c r="B768" s="3"/>
      <c r="C768" s="3"/>
      <c r="D768" s="3"/>
      <c r="E768" s="3"/>
      <c r="F768" s="3"/>
      <c r="G768" s="3"/>
      <c r="H768" s="3"/>
      <c r="I768" s="3"/>
      <c r="J768" s="3"/>
      <c r="K768" s="3"/>
    </row>
    <row r="769" spans="1:11" hidden="1" x14ac:dyDescent="0.3">
      <c r="A769" s="3"/>
      <c r="B769" s="3"/>
      <c r="C769" s="3"/>
      <c r="D769" s="3"/>
      <c r="E769" s="3"/>
      <c r="F769" s="3"/>
      <c r="G769" s="3"/>
      <c r="H769" s="3"/>
      <c r="I769" s="3"/>
      <c r="J769" s="3"/>
      <c r="K769" s="3"/>
    </row>
    <row r="770" spans="1:11" hidden="1" x14ac:dyDescent="0.3">
      <c r="A770" s="3"/>
      <c r="B770" s="3"/>
      <c r="C770" s="3"/>
      <c r="D770" s="3"/>
      <c r="E770" s="3"/>
      <c r="F770" s="3"/>
      <c r="G770" s="3"/>
      <c r="H770" s="3"/>
      <c r="I770" s="3"/>
      <c r="J770" s="3"/>
      <c r="K770" s="3"/>
    </row>
    <row r="771" spans="1:11" hidden="1" x14ac:dyDescent="0.3">
      <c r="A771" s="3"/>
      <c r="B771" s="3"/>
      <c r="C771" s="3"/>
      <c r="D771" s="3"/>
      <c r="E771" s="3"/>
      <c r="F771" s="3"/>
      <c r="G771" s="3"/>
      <c r="H771" s="3"/>
      <c r="I771" s="3"/>
      <c r="J771" s="3"/>
      <c r="K771" s="3"/>
    </row>
    <row r="772" spans="1:11" hidden="1" x14ac:dyDescent="0.3">
      <c r="A772" s="3"/>
      <c r="B772" s="3"/>
      <c r="C772" s="3"/>
      <c r="D772" s="3"/>
      <c r="E772" s="3"/>
      <c r="F772" s="3"/>
      <c r="G772" s="3"/>
      <c r="H772" s="3"/>
      <c r="I772" s="3"/>
      <c r="J772" s="3"/>
      <c r="K772" s="3"/>
    </row>
    <row r="773" spans="1:11" hidden="1" x14ac:dyDescent="0.3">
      <c r="A773" s="3"/>
      <c r="B773" s="3"/>
      <c r="C773" s="3"/>
      <c r="D773" s="3"/>
      <c r="E773" s="3"/>
      <c r="F773" s="3"/>
      <c r="G773" s="3"/>
      <c r="H773" s="3"/>
      <c r="I773" s="3"/>
      <c r="J773" s="3"/>
      <c r="K773" s="3"/>
    </row>
    <row r="774" spans="1:11" hidden="1" x14ac:dyDescent="0.3">
      <c r="A774" s="3"/>
      <c r="B774" s="3"/>
      <c r="C774" s="3"/>
      <c r="D774" s="3"/>
      <c r="E774" s="3"/>
      <c r="F774" s="3"/>
      <c r="G774" s="3"/>
      <c r="H774" s="3"/>
      <c r="I774" s="3"/>
      <c r="J774" s="3"/>
      <c r="K774" s="3"/>
    </row>
    <row r="775" spans="1:11" hidden="1" x14ac:dyDescent="0.3">
      <c r="A775" s="3"/>
      <c r="B775" s="3"/>
      <c r="C775" s="3"/>
      <c r="D775" s="3"/>
      <c r="E775" s="3"/>
      <c r="F775" s="3"/>
      <c r="G775" s="3"/>
      <c r="H775" s="3"/>
      <c r="I775" s="3"/>
      <c r="J775" s="3"/>
      <c r="K775" s="3"/>
    </row>
    <row r="776" spans="1:11" hidden="1" x14ac:dyDescent="0.3">
      <c r="A776" s="3"/>
      <c r="B776" s="3"/>
      <c r="C776" s="3"/>
      <c r="D776" s="3"/>
      <c r="E776" s="3"/>
      <c r="F776" s="3"/>
      <c r="G776" s="3"/>
      <c r="H776" s="3"/>
      <c r="I776" s="3"/>
      <c r="J776" s="3"/>
      <c r="K776" s="3"/>
    </row>
    <row r="777" spans="1:11" hidden="1" x14ac:dyDescent="0.3">
      <c r="A777" s="3"/>
      <c r="B777" s="3"/>
      <c r="C777" s="3"/>
      <c r="D777" s="3"/>
      <c r="E777" s="3"/>
      <c r="F777" s="3"/>
      <c r="G777" s="3"/>
      <c r="H777" s="3"/>
      <c r="I777" s="3"/>
      <c r="J777" s="3"/>
      <c r="K777" s="3"/>
    </row>
    <row r="778" spans="1:11" hidden="1" x14ac:dyDescent="0.3">
      <c r="A778" s="3"/>
      <c r="B778" s="3"/>
      <c r="C778" s="3"/>
      <c r="D778" s="3"/>
      <c r="E778" s="3"/>
      <c r="F778" s="3"/>
      <c r="G778" s="3"/>
      <c r="H778" s="3"/>
      <c r="I778" s="3"/>
      <c r="J778" s="3"/>
      <c r="K778" s="3"/>
    </row>
    <row r="779" spans="1:11" hidden="1" x14ac:dyDescent="0.3">
      <c r="A779" s="3"/>
      <c r="B779" s="3"/>
      <c r="C779" s="3"/>
      <c r="D779" s="3"/>
      <c r="E779" s="3"/>
      <c r="F779" s="3"/>
      <c r="G779" s="3"/>
      <c r="H779" s="3"/>
      <c r="I779" s="3"/>
      <c r="J779" s="3"/>
      <c r="K779" s="3"/>
    </row>
    <row r="780" spans="1:11" hidden="1" x14ac:dyDescent="0.3">
      <c r="A780" s="3"/>
      <c r="B780" s="3"/>
      <c r="C780" s="3"/>
      <c r="D780" s="3"/>
      <c r="E780" s="3"/>
      <c r="F780" s="3"/>
      <c r="G780" s="3"/>
      <c r="H780" s="3"/>
      <c r="I780" s="3"/>
      <c r="J780" s="3"/>
      <c r="K780" s="3"/>
    </row>
    <row r="781" spans="1:11" hidden="1" x14ac:dyDescent="0.3">
      <c r="A781" s="3"/>
      <c r="B781" s="3"/>
      <c r="C781" s="3"/>
      <c r="D781" s="3"/>
      <c r="E781" s="3"/>
      <c r="F781" s="3"/>
      <c r="G781" s="3"/>
      <c r="H781" s="3"/>
      <c r="I781" s="3"/>
      <c r="J781" s="3"/>
      <c r="K781" s="3"/>
    </row>
    <row r="782" spans="1:11" hidden="1" x14ac:dyDescent="0.3">
      <c r="A782" s="3"/>
      <c r="B782" s="3"/>
      <c r="C782" s="3"/>
      <c r="D782" s="3"/>
      <c r="E782" s="3"/>
      <c r="F782" s="3"/>
      <c r="G782" s="3"/>
      <c r="H782" s="3"/>
      <c r="I782" s="3"/>
      <c r="J782" s="3"/>
      <c r="K782" s="3"/>
    </row>
    <row r="783" spans="1:11" hidden="1" x14ac:dyDescent="0.3">
      <c r="A783" s="3"/>
      <c r="B783" s="3"/>
      <c r="C783" s="3"/>
      <c r="D783" s="3"/>
      <c r="E783" s="3"/>
      <c r="F783" s="3"/>
      <c r="G783" s="3"/>
      <c r="H783" s="3"/>
      <c r="I783" s="3"/>
      <c r="J783" s="3"/>
      <c r="K783" s="3"/>
    </row>
    <row r="784" spans="1:11" hidden="1" x14ac:dyDescent="0.3">
      <c r="A784" s="3"/>
      <c r="B784" s="3"/>
      <c r="C784" s="3"/>
      <c r="D784" s="3"/>
      <c r="E784" s="3"/>
      <c r="F784" s="3"/>
      <c r="G784" s="3"/>
      <c r="H784" s="3"/>
      <c r="I784" s="3"/>
      <c r="J784" s="3"/>
      <c r="K784" s="3"/>
    </row>
    <row r="785" spans="1:11" hidden="1" x14ac:dyDescent="0.3">
      <c r="A785" s="3"/>
      <c r="B785" s="3"/>
      <c r="C785" s="3"/>
      <c r="D785" s="3"/>
      <c r="E785" s="3"/>
      <c r="F785" s="3"/>
      <c r="G785" s="3"/>
      <c r="H785" s="3"/>
      <c r="I785" s="3"/>
      <c r="J785" s="3"/>
      <c r="K785" s="3"/>
    </row>
    <row r="786" spans="1:11" hidden="1" x14ac:dyDescent="0.3">
      <c r="A786" s="3"/>
      <c r="B786" s="3"/>
      <c r="C786" s="3"/>
      <c r="D786" s="3"/>
      <c r="E786" s="3"/>
      <c r="F786" s="3"/>
      <c r="G786" s="3"/>
      <c r="H786" s="3"/>
      <c r="I786" s="3"/>
      <c r="J786" s="3"/>
      <c r="K786" s="3"/>
    </row>
    <row r="787" spans="1:11" hidden="1" x14ac:dyDescent="0.3">
      <c r="A787" s="3"/>
      <c r="B787" s="3"/>
      <c r="C787" s="3"/>
      <c r="D787" s="3"/>
      <c r="E787" s="3"/>
      <c r="F787" s="3"/>
      <c r="G787" s="3"/>
      <c r="H787" s="3"/>
      <c r="I787" s="3"/>
      <c r="J787" s="3"/>
      <c r="K787" s="3"/>
    </row>
    <row r="788" spans="1:11" hidden="1" x14ac:dyDescent="0.3">
      <c r="A788" s="3"/>
      <c r="B788" s="3"/>
      <c r="C788" s="3"/>
      <c r="D788" s="3"/>
      <c r="E788" s="3"/>
      <c r="F788" s="3"/>
      <c r="G788" s="3"/>
      <c r="H788" s="3"/>
      <c r="I788" s="3"/>
      <c r="J788" s="3"/>
      <c r="K788" s="3"/>
    </row>
    <row r="789" spans="1:11" hidden="1" x14ac:dyDescent="0.3">
      <c r="A789" s="3"/>
      <c r="B789" s="3"/>
      <c r="C789" s="3"/>
      <c r="D789" s="3"/>
      <c r="E789" s="3"/>
      <c r="F789" s="3"/>
      <c r="G789" s="3"/>
      <c r="H789" s="3"/>
      <c r="I789" s="3"/>
      <c r="J789" s="3"/>
      <c r="K789" s="3"/>
    </row>
    <row r="790" spans="1:11" hidden="1" x14ac:dyDescent="0.3">
      <c r="A790" s="3"/>
      <c r="B790" s="3"/>
      <c r="C790" s="3"/>
      <c r="D790" s="3"/>
      <c r="E790" s="3"/>
      <c r="F790" s="3"/>
      <c r="G790" s="3"/>
      <c r="H790" s="3"/>
      <c r="I790" s="3"/>
      <c r="J790" s="3"/>
      <c r="K790" s="3"/>
    </row>
    <row r="791" spans="1:11" hidden="1" x14ac:dyDescent="0.3">
      <c r="A791" s="3"/>
      <c r="B791" s="3"/>
      <c r="C791" s="3"/>
      <c r="D791" s="3"/>
      <c r="E791" s="3"/>
      <c r="F791" s="3"/>
      <c r="G791" s="3"/>
      <c r="H791" s="3"/>
      <c r="I791" s="3"/>
      <c r="J791" s="3"/>
      <c r="K791" s="3"/>
    </row>
    <row r="792" spans="1:11" hidden="1" x14ac:dyDescent="0.3">
      <c r="A792" s="3"/>
      <c r="B792" s="3"/>
      <c r="C792" s="3"/>
      <c r="D792" s="3"/>
      <c r="E792" s="3"/>
      <c r="F792" s="3"/>
      <c r="G792" s="3"/>
      <c r="H792" s="3"/>
      <c r="I792" s="3"/>
      <c r="J792" s="3"/>
      <c r="K792" s="3"/>
    </row>
    <row r="793" spans="1:11" hidden="1" x14ac:dyDescent="0.3">
      <c r="A793" s="3"/>
      <c r="B793" s="3"/>
      <c r="C793" s="3"/>
      <c r="D793" s="3"/>
      <c r="E793" s="3"/>
      <c r="F793" s="3"/>
      <c r="G793" s="3"/>
      <c r="H793" s="3"/>
      <c r="I793" s="3"/>
      <c r="J793" s="3"/>
      <c r="K793" s="3"/>
    </row>
    <row r="794" spans="1:11" hidden="1" x14ac:dyDescent="0.3">
      <c r="A794" s="3"/>
      <c r="B794" s="3"/>
      <c r="C794" s="3"/>
      <c r="D794" s="3"/>
      <c r="E794" s="3"/>
      <c r="F794" s="3"/>
      <c r="G794" s="3"/>
      <c r="H794" s="3"/>
      <c r="I794" s="3"/>
      <c r="J794" s="3"/>
      <c r="K794" s="3"/>
    </row>
    <row r="795" spans="1:11" hidden="1" x14ac:dyDescent="0.3">
      <c r="A795" s="3"/>
      <c r="B795" s="3"/>
      <c r="C795" s="3"/>
      <c r="D795" s="3"/>
      <c r="E795" s="3"/>
      <c r="F795" s="3"/>
      <c r="G795" s="3"/>
      <c r="H795" s="3"/>
      <c r="I795" s="3"/>
      <c r="J795" s="3"/>
      <c r="K795" s="3"/>
    </row>
    <row r="796" spans="1:11" hidden="1" x14ac:dyDescent="0.3">
      <c r="A796" s="3"/>
      <c r="B796" s="3"/>
      <c r="C796" s="3"/>
      <c r="D796" s="3"/>
      <c r="E796" s="3"/>
      <c r="F796" s="3"/>
      <c r="G796" s="3"/>
      <c r="H796" s="3"/>
      <c r="I796" s="3"/>
      <c r="J796" s="3"/>
      <c r="K796" s="3"/>
    </row>
    <row r="797" spans="1:11" hidden="1" x14ac:dyDescent="0.3">
      <c r="A797" s="3"/>
      <c r="B797" s="3"/>
      <c r="C797" s="3"/>
      <c r="D797" s="3"/>
      <c r="E797" s="3"/>
      <c r="F797" s="3"/>
      <c r="G797" s="3"/>
      <c r="H797" s="3"/>
      <c r="I797" s="3"/>
      <c r="J797" s="3"/>
      <c r="K797" s="3"/>
    </row>
    <row r="798" spans="1:11" hidden="1" x14ac:dyDescent="0.3">
      <c r="A798" s="3"/>
      <c r="B798" s="3"/>
      <c r="C798" s="3"/>
      <c r="D798" s="3"/>
      <c r="E798" s="3"/>
      <c r="F798" s="3"/>
      <c r="G798" s="3"/>
      <c r="H798" s="3"/>
      <c r="I798" s="3"/>
      <c r="J798" s="3"/>
      <c r="K798" s="3"/>
    </row>
    <row r="799" spans="1:11" hidden="1" x14ac:dyDescent="0.3">
      <c r="A799" s="3"/>
      <c r="B799" s="3"/>
      <c r="C799" s="3"/>
      <c r="D799" s="3"/>
      <c r="E799" s="3"/>
      <c r="F799" s="3"/>
      <c r="G799" s="3"/>
      <c r="H799" s="3"/>
      <c r="I799" s="3"/>
      <c r="J799" s="3"/>
      <c r="K799" s="3"/>
    </row>
    <row r="800" spans="1:11" hidden="1" x14ac:dyDescent="0.3">
      <c r="A800" s="3"/>
      <c r="B800" s="3"/>
      <c r="C800" s="3"/>
      <c r="D800" s="3"/>
      <c r="E800" s="3"/>
      <c r="F800" s="3"/>
      <c r="G800" s="3"/>
      <c r="H800" s="3"/>
      <c r="I800" s="3"/>
      <c r="J800" s="3"/>
      <c r="K800" s="3"/>
    </row>
    <row r="801" spans="1:11" hidden="1" x14ac:dyDescent="0.3">
      <c r="A801" s="3"/>
      <c r="B801" s="3"/>
      <c r="C801" s="3"/>
      <c r="D801" s="3"/>
      <c r="E801" s="3"/>
      <c r="F801" s="3"/>
      <c r="G801" s="3"/>
      <c r="H801" s="3"/>
      <c r="I801" s="3"/>
      <c r="J801" s="3"/>
      <c r="K801" s="3"/>
    </row>
    <row r="802" spans="1:11" hidden="1" x14ac:dyDescent="0.3">
      <c r="A802" s="3"/>
      <c r="B802" s="3"/>
      <c r="C802" s="3"/>
      <c r="D802" s="3"/>
      <c r="E802" s="3"/>
      <c r="F802" s="3"/>
      <c r="G802" s="3"/>
      <c r="H802" s="3"/>
      <c r="I802" s="3"/>
      <c r="J802" s="3"/>
      <c r="K802" s="3"/>
    </row>
    <row r="803" spans="1:11" hidden="1" x14ac:dyDescent="0.3">
      <c r="A803" s="3"/>
      <c r="B803" s="3"/>
      <c r="C803" s="3"/>
      <c r="D803" s="3"/>
      <c r="E803" s="3"/>
      <c r="F803" s="3"/>
      <c r="G803" s="3"/>
      <c r="H803" s="3"/>
      <c r="I803" s="3"/>
      <c r="J803" s="3"/>
      <c r="K803" s="3"/>
    </row>
    <row r="804" spans="1:11" hidden="1" x14ac:dyDescent="0.3">
      <c r="A804" s="3"/>
      <c r="B804" s="3"/>
      <c r="C804" s="3"/>
      <c r="D804" s="3"/>
      <c r="E804" s="3"/>
      <c r="F804" s="3"/>
      <c r="G804" s="3"/>
      <c r="H804" s="3"/>
      <c r="I804" s="3"/>
      <c r="J804" s="3"/>
      <c r="K804" s="3"/>
    </row>
    <row r="805" spans="1:11" hidden="1" x14ac:dyDescent="0.3">
      <c r="A805" s="3"/>
      <c r="B805" s="3"/>
      <c r="C805" s="3"/>
      <c r="D805" s="3"/>
      <c r="E805" s="3"/>
      <c r="F805" s="3"/>
      <c r="G805" s="3"/>
      <c r="H805" s="3"/>
      <c r="I805" s="3"/>
      <c r="J805" s="3"/>
      <c r="K805" s="3"/>
    </row>
    <row r="806" spans="1:11" hidden="1" x14ac:dyDescent="0.3">
      <c r="A806" s="3"/>
      <c r="B806" s="3"/>
      <c r="C806" s="3"/>
      <c r="D806" s="3"/>
      <c r="E806" s="3"/>
      <c r="F806" s="3"/>
      <c r="G806" s="3"/>
      <c r="H806" s="3"/>
      <c r="I806" s="3"/>
      <c r="J806" s="3"/>
      <c r="K806" s="3"/>
    </row>
    <row r="807" spans="1:11" hidden="1" x14ac:dyDescent="0.3">
      <c r="A807" s="3"/>
      <c r="B807" s="3"/>
      <c r="C807" s="3"/>
      <c r="D807" s="3"/>
      <c r="E807" s="3"/>
      <c r="F807" s="3"/>
      <c r="G807" s="3"/>
      <c r="H807" s="3"/>
      <c r="I807" s="3"/>
      <c r="J807" s="3"/>
      <c r="K807" s="3"/>
    </row>
    <row r="808" spans="1:11" hidden="1" x14ac:dyDescent="0.3">
      <c r="A808" s="3"/>
      <c r="B808" s="3"/>
      <c r="C808" s="3"/>
      <c r="D808" s="3"/>
      <c r="E808" s="3"/>
      <c r="F808" s="3"/>
      <c r="G808" s="3"/>
      <c r="H808" s="3"/>
      <c r="I808" s="3"/>
      <c r="J808" s="3"/>
      <c r="K808" s="3"/>
    </row>
    <row r="809" spans="1:11" hidden="1" x14ac:dyDescent="0.3">
      <c r="A809" s="3"/>
      <c r="B809" s="3"/>
      <c r="C809" s="3"/>
      <c r="D809" s="3"/>
      <c r="E809" s="3"/>
      <c r="F809" s="3"/>
      <c r="G809" s="3"/>
      <c r="H809" s="3"/>
      <c r="I809" s="3"/>
      <c r="J809" s="3"/>
      <c r="K809" s="3"/>
    </row>
    <row r="810" spans="1:11" hidden="1" x14ac:dyDescent="0.3">
      <c r="A810" s="3"/>
      <c r="B810" s="3"/>
      <c r="C810" s="3"/>
      <c r="D810" s="3"/>
      <c r="E810" s="3"/>
      <c r="F810" s="3"/>
      <c r="G810" s="3"/>
      <c r="H810" s="3"/>
      <c r="I810" s="3"/>
      <c r="J810" s="3"/>
      <c r="K810" s="3"/>
    </row>
    <row r="811" spans="1:11" hidden="1" x14ac:dyDescent="0.3">
      <c r="A811" s="3"/>
      <c r="B811" s="3"/>
      <c r="C811" s="3"/>
      <c r="D811" s="3"/>
      <c r="E811" s="3"/>
      <c r="F811" s="3"/>
      <c r="G811" s="3"/>
      <c r="H811" s="3"/>
      <c r="I811" s="3"/>
      <c r="J811" s="3"/>
      <c r="K811" s="3"/>
    </row>
    <row r="812" spans="1:11" hidden="1" x14ac:dyDescent="0.3">
      <c r="A812" s="3"/>
      <c r="B812" s="3"/>
      <c r="C812" s="3"/>
      <c r="D812" s="3"/>
      <c r="E812" s="3"/>
      <c r="F812" s="3"/>
      <c r="G812" s="3"/>
      <c r="H812" s="3"/>
      <c r="I812" s="3"/>
      <c r="J812" s="3"/>
      <c r="K812" s="3"/>
    </row>
    <row r="813" spans="1:11" hidden="1" x14ac:dyDescent="0.3">
      <c r="A813" s="3"/>
      <c r="B813" s="3"/>
      <c r="C813" s="3"/>
      <c r="D813" s="3"/>
      <c r="E813" s="3"/>
      <c r="F813" s="3"/>
      <c r="G813" s="3"/>
      <c r="H813" s="3"/>
      <c r="I813" s="3"/>
      <c r="J813" s="3"/>
      <c r="K813" s="3"/>
    </row>
    <row r="814" spans="1:11" hidden="1" x14ac:dyDescent="0.3">
      <c r="A814" s="3"/>
      <c r="B814" s="3"/>
      <c r="C814" s="3"/>
      <c r="D814" s="3"/>
      <c r="E814" s="3"/>
      <c r="F814" s="3"/>
      <c r="G814" s="3"/>
      <c r="H814" s="3"/>
      <c r="I814" s="3"/>
      <c r="J814" s="3"/>
      <c r="K814" s="3"/>
    </row>
    <row r="815" spans="1:11" hidden="1" x14ac:dyDescent="0.3">
      <c r="A815" s="3"/>
      <c r="B815" s="3"/>
      <c r="C815" s="3"/>
      <c r="D815" s="3"/>
      <c r="E815" s="3"/>
      <c r="F815" s="3"/>
      <c r="G815" s="3"/>
      <c r="H815" s="3"/>
      <c r="I815" s="3"/>
      <c r="J815" s="3"/>
      <c r="K815" s="3"/>
    </row>
    <row r="816" spans="1:11" hidden="1" x14ac:dyDescent="0.3">
      <c r="A816" s="3"/>
      <c r="B816" s="3"/>
      <c r="C816" s="3"/>
      <c r="D816" s="3"/>
      <c r="E816" s="3"/>
      <c r="F816" s="3"/>
      <c r="G816" s="3"/>
      <c r="H816" s="3"/>
      <c r="I816" s="3"/>
      <c r="J816" s="3"/>
      <c r="K816" s="3"/>
    </row>
    <row r="817" spans="1:11" hidden="1" x14ac:dyDescent="0.3">
      <c r="A817" s="3"/>
      <c r="B817" s="3"/>
      <c r="C817" s="3"/>
      <c r="D817" s="3"/>
      <c r="E817" s="3"/>
      <c r="F817" s="3"/>
      <c r="G817" s="3"/>
      <c r="H817" s="3"/>
      <c r="I817" s="3"/>
      <c r="J817" s="3"/>
      <c r="K817" s="3"/>
    </row>
    <row r="818" spans="1:11" hidden="1" x14ac:dyDescent="0.3">
      <c r="A818" s="3"/>
      <c r="B818" s="3"/>
      <c r="C818" s="3"/>
      <c r="D818" s="3"/>
      <c r="E818" s="3"/>
      <c r="F818" s="3"/>
      <c r="G818" s="3"/>
      <c r="H818" s="3"/>
      <c r="I818" s="3"/>
      <c r="J818" s="3"/>
      <c r="K818" s="3"/>
    </row>
    <row r="819" spans="1:11" hidden="1" x14ac:dyDescent="0.3">
      <c r="A819" s="3"/>
      <c r="B819" s="3"/>
      <c r="C819" s="3"/>
      <c r="D819" s="3"/>
      <c r="E819" s="3"/>
      <c r="F819" s="3"/>
      <c r="G819" s="3"/>
      <c r="H819" s="3"/>
      <c r="I819" s="3"/>
      <c r="J819" s="3"/>
      <c r="K819" s="3"/>
    </row>
    <row r="820" spans="1:11" hidden="1" x14ac:dyDescent="0.3">
      <c r="A820" s="3"/>
      <c r="B820" s="3"/>
      <c r="C820" s="3"/>
      <c r="D820" s="3"/>
      <c r="E820" s="3"/>
      <c r="F820" s="3"/>
      <c r="G820" s="3"/>
      <c r="H820" s="3"/>
      <c r="I820" s="3"/>
      <c r="J820" s="3"/>
      <c r="K820" s="3"/>
    </row>
    <row r="821" spans="1:11" hidden="1" x14ac:dyDescent="0.3">
      <c r="A821" s="3"/>
      <c r="B821" s="3"/>
      <c r="C821" s="3"/>
      <c r="D821" s="3"/>
      <c r="E821" s="3"/>
      <c r="F821" s="3"/>
      <c r="G821" s="3"/>
      <c r="H821" s="3"/>
      <c r="I821" s="3"/>
      <c r="J821" s="3"/>
      <c r="K821" s="3"/>
    </row>
    <row r="822" spans="1:11" hidden="1" x14ac:dyDescent="0.3">
      <c r="A822" s="3"/>
      <c r="B822" s="3"/>
      <c r="C822" s="3"/>
      <c r="D822" s="3"/>
      <c r="E822" s="3"/>
      <c r="F822" s="3"/>
      <c r="G822" s="3"/>
      <c r="H822" s="3"/>
      <c r="I822" s="3"/>
      <c r="J822" s="3"/>
      <c r="K822" s="3"/>
    </row>
    <row r="823" spans="1:11" hidden="1" x14ac:dyDescent="0.3">
      <c r="A823" s="3"/>
      <c r="B823" s="3"/>
      <c r="C823" s="3"/>
      <c r="D823" s="3"/>
      <c r="E823" s="3"/>
      <c r="F823" s="3"/>
      <c r="G823" s="3"/>
      <c r="H823" s="3"/>
      <c r="I823" s="3"/>
      <c r="J823" s="3"/>
      <c r="K823" s="3"/>
    </row>
    <row r="824" spans="1:11" hidden="1" x14ac:dyDescent="0.3">
      <c r="A824" s="3"/>
      <c r="B824" s="3"/>
      <c r="C824" s="3"/>
      <c r="D824" s="3"/>
      <c r="E824" s="3"/>
      <c r="F824" s="3"/>
      <c r="G824" s="3"/>
      <c r="H824" s="3"/>
      <c r="I824" s="3"/>
      <c r="J824" s="3"/>
      <c r="K824" s="3"/>
    </row>
    <row r="825" spans="1:11" hidden="1" x14ac:dyDescent="0.3">
      <c r="A825" s="3"/>
      <c r="B825" s="3"/>
      <c r="C825" s="3"/>
      <c r="D825" s="3"/>
      <c r="E825" s="3"/>
      <c r="F825" s="3"/>
      <c r="G825" s="3"/>
      <c r="H825" s="3"/>
      <c r="I825" s="3"/>
      <c r="J825" s="3"/>
      <c r="K825" s="3"/>
    </row>
    <row r="826" spans="1:11" hidden="1" x14ac:dyDescent="0.3">
      <c r="A826" s="3"/>
      <c r="B826" s="3"/>
      <c r="C826" s="3"/>
      <c r="D826" s="3"/>
      <c r="E826" s="3"/>
      <c r="F826" s="3"/>
      <c r="G826" s="3"/>
      <c r="H826" s="3"/>
      <c r="I826" s="3"/>
      <c r="J826" s="3"/>
      <c r="K826" s="3"/>
    </row>
    <row r="827" spans="1:11" hidden="1" x14ac:dyDescent="0.3">
      <c r="A827" s="3"/>
      <c r="B827" s="3"/>
      <c r="C827" s="3"/>
      <c r="D827" s="3"/>
      <c r="E827" s="3"/>
      <c r="F827" s="3"/>
      <c r="G827" s="3"/>
      <c r="H827" s="3"/>
      <c r="I827" s="3"/>
      <c r="J827" s="3"/>
      <c r="K827" s="3"/>
    </row>
    <row r="828" spans="1:11" hidden="1" x14ac:dyDescent="0.3">
      <c r="A828" s="3"/>
      <c r="B828" s="3"/>
      <c r="C828" s="3"/>
      <c r="D828" s="3"/>
      <c r="E828" s="3"/>
      <c r="F828" s="3"/>
      <c r="G828" s="3"/>
      <c r="H828" s="3"/>
      <c r="I828" s="3"/>
      <c r="J828" s="3"/>
      <c r="K828" s="3"/>
    </row>
    <row r="829" spans="1:11" hidden="1" x14ac:dyDescent="0.3">
      <c r="A829" s="3"/>
      <c r="B829" s="3"/>
      <c r="C829" s="3"/>
      <c r="D829" s="3"/>
      <c r="E829" s="3"/>
      <c r="F829" s="3"/>
      <c r="G829" s="3"/>
      <c r="H829" s="3"/>
      <c r="I829" s="3"/>
      <c r="J829" s="3"/>
      <c r="K829" s="3"/>
    </row>
    <row r="830" spans="1:11" hidden="1" x14ac:dyDescent="0.3">
      <c r="A830" s="3"/>
      <c r="B830" s="3"/>
      <c r="C830" s="3"/>
      <c r="D830" s="3"/>
      <c r="E830" s="3"/>
      <c r="F830" s="3"/>
      <c r="G830" s="3"/>
      <c r="H830" s="3"/>
      <c r="I830" s="3"/>
      <c r="J830" s="3"/>
      <c r="K830" s="3"/>
    </row>
    <row r="831" spans="1:11" hidden="1" x14ac:dyDescent="0.3">
      <c r="A831" s="3"/>
      <c r="B831" s="3"/>
      <c r="C831" s="3"/>
      <c r="D831" s="3"/>
      <c r="E831" s="3"/>
      <c r="F831" s="3"/>
      <c r="G831" s="3"/>
      <c r="H831" s="3"/>
      <c r="I831" s="3"/>
      <c r="J831" s="3"/>
      <c r="K831" s="3"/>
    </row>
    <row r="832" spans="1:11" hidden="1" x14ac:dyDescent="0.3">
      <c r="A832" s="3"/>
      <c r="B832" s="3"/>
      <c r="C832" s="3"/>
      <c r="D832" s="3"/>
      <c r="E832" s="3"/>
      <c r="F832" s="3"/>
      <c r="G832" s="3"/>
      <c r="H832" s="3"/>
      <c r="I832" s="3"/>
      <c r="J832" s="3"/>
      <c r="K832" s="3"/>
    </row>
    <row r="833" spans="1:11" hidden="1" x14ac:dyDescent="0.3">
      <c r="A833" s="3"/>
      <c r="B833" s="3"/>
      <c r="C833" s="3"/>
      <c r="D833" s="3"/>
      <c r="E833" s="3"/>
      <c r="F833" s="3"/>
      <c r="G833" s="3"/>
      <c r="H833" s="3"/>
      <c r="I833" s="3"/>
      <c r="J833" s="3"/>
      <c r="K833" s="3"/>
    </row>
    <row r="834" spans="1:11" hidden="1" x14ac:dyDescent="0.3">
      <c r="A834" s="3"/>
      <c r="B834" s="3"/>
      <c r="C834" s="3"/>
      <c r="D834" s="3"/>
      <c r="E834" s="3"/>
      <c r="F834" s="3"/>
      <c r="G834" s="3"/>
      <c r="H834" s="3"/>
      <c r="I834" s="3"/>
      <c r="J834" s="3"/>
      <c r="K834" s="3"/>
    </row>
    <row r="835" spans="1:11" hidden="1" x14ac:dyDescent="0.3">
      <c r="A835" s="3"/>
      <c r="B835" s="3"/>
      <c r="C835" s="3"/>
      <c r="D835" s="3"/>
      <c r="E835" s="3"/>
      <c r="F835" s="3"/>
      <c r="G835" s="3"/>
      <c r="H835" s="3"/>
      <c r="I835" s="3"/>
      <c r="J835" s="3"/>
      <c r="K835" s="3"/>
    </row>
    <row r="836" spans="1:11" hidden="1" x14ac:dyDescent="0.3">
      <c r="A836" s="3"/>
      <c r="B836" s="3"/>
      <c r="C836" s="3"/>
      <c r="D836" s="3"/>
      <c r="E836" s="3"/>
      <c r="F836" s="3"/>
      <c r="G836" s="3"/>
      <c r="H836" s="3"/>
      <c r="I836" s="3"/>
      <c r="J836" s="3"/>
      <c r="K836" s="3"/>
    </row>
    <row r="837" spans="1:11" hidden="1" x14ac:dyDescent="0.3">
      <c r="A837" s="3"/>
      <c r="B837" s="3"/>
      <c r="C837" s="3"/>
      <c r="D837" s="3"/>
      <c r="E837" s="3"/>
      <c r="F837" s="3"/>
      <c r="G837" s="3"/>
      <c r="H837" s="3"/>
      <c r="I837" s="3"/>
      <c r="J837" s="3"/>
      <c r="K837" s="3"/>
    </row>
    <row r="838" spans="1:11" hidden="1" x14ac:dyDescent="0.3">
      <c r="A838" s="3"/>
      <c r="B838" s="3"/>
      <c r="C838" s="3"/>
      <c r="D838" s="3"/>
      <c r="E838" s="3"/>
      <c r="F838" s="3"/>
      <c r="G838" s="3"/>
      <c r="H838" s="3"/>
      <c r="I838" s="3"/>
      <c r="J838" s="3"/>
      <c r="K838" s="3"/>
    </row>
    <row r="839" spans="1:11" hidden="1" x14ac:dyDescent="0.3">
      <c r="A839" s="3"/>
      <c r="B839" s="3"/>
      <c r="C839" s="3"/>
      <c r="D839" s="3"/>
      <c r="E839" s="3"/>
      <c r="F839" s="3"/>
      <c r="G839" s="3"/>
      <c r="H839" s="3"/>
      <c r="I839" s="3"/>
      <c r="J839" s="3"/>
      <c r="K839" s="3"/>
    </row>
    <row r="840" spans="1:11" hidden="1" x14ac:dyDescent="0.3">
      <c r="A840" s="3"/>
      <c r="B840" s="3"/>
      <c r="C840" s="3"/>
      <c r="D840" s="3"/>
      <c r="E840" s="3"/>
      <c r="F840" s="3"/>
      <c r="G840" s="3"/>
      <c r="H840" s="3"/>
      <c r="I840" s="3"/>
      <c r="J840" s="3"/>
      <c r="K840" s="3"/>
    </row>
    <row r="841" spans="1:11" hidden="1" x14ac:dyDescent="0.3">
      <c r="A841" s="3"/>
      <c r="B841" s="3"/>
      <c r="C841" s="3"/>
      <c r="D841" s="3"/>
      <c r="E841" s="3"/>
      <c r="F841" s="3"/>
      <c r="G841" s="3"/>
      <c r="H841" s="3"/>
      <c r="I841" s="3"/>
      <c r="J841" s="3"/>
      <c r="K841" s="3"/>
    </row>
    <row r="842" spans="1:11" hidden="1" x14ac:dyDescent="0.3">
      <c r="A842" s="3"/>
      <c r="B842" s="3"/>
      <c r="C842" s="3"/>
      <c r="D842" s="3"/>
      <c r="E842" s="3"/>
      <c r="F842" s="3"/>
      <c r="G842" s="3"/>
      <c r="H842" s="3"/>
      <c r="I842" s="3"/>
      <c r="J842" s="3"/>
      <c r="K842" s="3"/>
    </row>
    <row r="843" spans="1:11" hidden="1" x14ac:dyDescent="0.3">
      <c r="A843" s="3"/>
      <c r="B843" s="3"/>
      <c r="C843" s="3"/>
      <c r="D843" s="3"/>
      <c r="E843" s="3"/>
      <c r="F843" s="3"/>
      <c r="G843" s="3"/>
      <c r="H843" s="3"/>
      <c r="I843" s="3"/>
      <c r="J843" s="3"/>
      <c r="K843" s="3"/>
    </row>
    <row r="844" spans="1:11" hidden="1" x14ac:dyDescent="0.3">
      <c r="A844" s="3"/>
      <c r="B844" s="3"/>
      <c r="C844" s="3"/>
      <c r="D844" s="3"/>
      <c r="E844" s="3"/>
      <c r="F844" s="3"/>
      <c r="G844" s="3"/>
      <c r="H844" s="3"/>
      <c r="I844" s="3"/>
      <c r="J844" s="3"/>
      <c r="K844" s="3"/>
    </row>
    <row r="845" spans="1:11" hidden="1" x14ac:dyDescent="0.3">
      <c r="A845" s="3"/>
      <c r="B845" s="3"/>
      <c r="C845" s="3"/>
      <c r="D845" s="3"/>
      <c r="E845" s="3"/>
      <c r="F845" s="3"/>
      <c r="G845" s="3"/>
      <c r="H845" s="3"/>
      <c r="I845" s="3"/>
      <c r="J845" s="3"/>
      <c r="K845" s="3"/>
    </row>
    <row r="846" spans="1:11" hidden="1" x14ac:dyDescent="0.3">
      <c r="A846" s="3"/>
      <c r="B846" s="3"/>
      <c r="C846" s="3"/>
      <c r="D846" s="3"/>
      <c r="E846" s="3"/>
      <c r="F846" s="3"/>
      <c r="G846" s="3"/>
      <c r="H846" s="3"/>
      <c r="I846" s="3"/>
      <c r="J846" s="3"/>
      <c r="K846" s="3"/>
    </row>
    <row r="847" spans="1:11" hidden="1" x14ac:dyDescent="0.3">
      <c r="A847" s="3"/>
      <c r="B847" s="3"/>
      <c r="C847" s="3"/>
      <c r="D847" s="3"/>
      <c r="E847" s="3"/>
      <c r="F847" s="3"/>
      <c r="G847" s="3"/>
      <c r="H847" s="3"/>
      <c r="I847" s="3"/>
      <c r="J847" s="3"/>
      <c r="K847" s="3"/>
    </row>
    <row r="848" spans="1:11" hidden="1" x14ac:dyDescent="0.3">
      <c r="A848" s="3"/>
      <c r="B848" s="3"/>
      <c r="C848" s="3"/>
      <c r="D848" s="3"/>
      <c r="E848" s="3"/>
      <c r="F848" s="3"/>
      <c r="G848" s="3"/>
      <c r="H848" s="3"/>
      <c r="I848" s="3"/>
      <c r="J848" s="3"/>
      <c r="K848" s="3"/>
    </row>
    <row r="849" spans="1:11" hidden="1" x14ac:dyDescent="0.3">
      <c r="A849" s="3"/>
      <c r="B849" s="3"/>
      <c r="C849" s="3"/>
      <c r="D849" s="3"/>
      <c r="E849" s="3"/>
      <c r="F849" s="3"/>
      <c r="G849" s="3"/>
      <c r="H849" s="3"/>
      <c r="I849" s="3"/>
      <c r="J849" s="3"/>
      <c r="K849" s="3"/>
    </row>
    <row r="850" spans="1:11" hidden="1" x14ac:dyDescent="0.3">
      <c r="A850" s="3"/>
      <c r="B850" s="3"/>
      <c r="C850" s="3"/>
      <c r="D850" s="3"/>
      <c r="E850" s="3"/>
      <c r="F850" s="3"/>
      <c r="G850" s="3"/>
      <c r="H850" s="3"/>
      <c r="I850" s="3"/>
      <c r="J850" s="3"/>
      <c r="K850" s="3"/>
    </row>
    <row r="851" spans="1:11" hidden="1" x14ac:dyDescent="0.3">
      <c r="A851" s="3"/>
      <c r="B851" s="3"/>
      <c r="C851" s="3"/>
      <c r="D851" s="3"/>
      <c r="E851" s="3"/>
      <c r="F851" s="3"/>
      <c r="G851" s="3"/>
      <c r="H851" s="3"/>
      <c r="I851" s="3"/>
      <c r="J851" s="3"/>
      <c r="K851" s="3"/>
    </row>
    <row r="852" spans="1:11" hidden="1" x14ac:dyDescent="0.3">
      <c r="A852" s="3"/>
      <c r="B852" s="3"/>
      <c r="C852" s="3"/>
      <c r="D852" s="3"/>
      <c r="E852" s="3"/>
      <c r="F852" s="3"/>
      <c r="G852" s="3"/>
      <c r="H852" s="3"/>
      <c r="I852" s="3"/>
      <c r="J852" s="3"/>
      <c r="K852" s="3"/>
    </row>
    <row r="853" spans="1:11" hidden="1" x14ac:dyDescent="0.3">
      <c r="A853" s="3"/>
      <c r="B853" s="3"/>
      <c r="C853" s="3"/>
      <c r="D853" s="3"/>
      <c r="E853" s="3"/>
      <c r="F853" s="3"/>
      <c r="G853" s="3"/>
      <c r="H853" s="3"/>
      <c r="I853" s="3"/>
      <c r="J853" s="3"/>
      <c r="K853" s="3"/>
    </row>
    <row r="854" spans="1:11" hidden="1" x14ac:dyDescent="0.3">
      <c r="A854" s="3"/>
      <c r="B854" s="3"/>
      <c r="C854" s="3"/>
      <c r="D854" s="3"/>
      <c r="E854" s="3"/>
      <c r="F854" s="3"/>
      <c r="G854" s="3"/>
      <c r="H854" s="3"/>
      <c r="I854" s="3"/>
      <c r="J854" s="3"/>
      <c r="K854" s="3"/>
    </row>
    <row r="855" spans="1:11" hidden="1" x14ac:dyDescent="0.3">
      <c r="A855" s="3"/>
      <c r="B855" s="3"/>
      <c r="C855" s="3"/>
      <c r="D855" s="3"/>
      <c r="E855" s="3"/>
      <c r="F855" s="3"/>
      <c r="G855" s="3"/>
      <c r="H855" s="3"/>
      <c r="I855" s="3"/>
      <c r="J855" s="3"/>
      <c r="K855" s="3"/>
    </row>
    <row r="856" spans="1:11" hidden="1" x14ac:dyDescent="0.3">
      <c r="A856" s="3"/>
      <c r="B856" s="3"/>
      <c r="C856" s="3"/>
      <c r="D856" s="3"/>
      <c r="E856" s="3"/>
      <c r="F856" s="3"/>
      <c r="G856" s="3"/>
      <c r="H856" s="3"/>
      <c r="I856" s="3"/>
      <c r="J856" s="3"/>
      <c r="K856" s="3"/>
    </row>
    <row r="857" spans="1:11" hidden="1" x14ac:dyDescent="0.3">
      <c r="A857" s="3"/>
      <c r="B857" s="3"/>
      <c r="C857" s="3"/>
      <c r="D857" s="3"/>
      <c r="E857" s="3"/>
      <c r="F857" s="3"/>
      <c r="G857" s="3"/>
      <c r="H857" s="3"/>
      <c r="I857" s="3"/>
      <c r="J857" s="3"/>
      <c r="K857" s="3"/>
    </row>
    <row r="858" spans="1:11" hidden="1" x14ac:dyDescent="0.3">
      <c r="A858" s="3"/>
      <c r="B858" s="3"/>
      <c r="C858" s="3"/>
      <c r="D858" s="3"/>
      <c r="E858" s="3"/>
      <c r="F858" s="3"/>
      <c r="G858" s="3"/>
      <c r="H858" s="3"/>
      <c r="I858" s="3"/>
      <c r="J858" s="3"/>
      <c r="K858" s="3"/>
    </row>
    <row r="859" spans="1:11" hidden="1" x14ac:dyDescent="0.3">
      <c r="A859" s="3"/>
      <c r="B859" s="3"/>
      <c r="C859" s="3"/>
      <c r="D859" s="3"/>
      <c r="E859" s="3"/>
      <c r="F859" s="3"/>
      <c r="G859" s="3"/>
      <c r="H859" s="3"/>
      <c r="I859" s="3"/>
      <c r="J859" s="3"/>
      <c r="K859" s="3"/>
    </row>
    <row r="860" spans="1:11" hidden="1" x14ac:dyDescent="0.3">
      <c r="A860" s="3"/>
      <c r="B860" s="3"/>
      <c r="C860" s="3"/>
      <c r="D860" s="3"/>
      <c r="E860" s="3"/>
      <c r="F860" s="3"/>
      <c r="G860" s="3"/>
      <c r="H860" s="3"/>
      <c r="I860" s="3"/>
      <c r="J860" s="3"/>
      <c r="K860" s="3"/>
    </row>
    <row r="861" spans="1:11" hidden="1" x14ac:dyDescent="0.3">
      <c r="A861" s="3"/>
      <c r="B861" s="3"/>
      <c r="C861" s="3"/>
      <c r="D861" s="3"/>
      <c r="E861" s="3"/>
      <c r="F861" s="3"/>
      <c r="G861" s="3"/>
      <c r="H861" s="3"/>
      <c r="I861" s="3"/>
      <c r="J861" s="3"/>
      <c r="K861" s="3"/>
    </row>
    <row r="862" spans="1:11" hidden="1" x14ac:dyDescent="0.3">
      <c r="A862" s="3"/>
      <c r="B862" s="3"/>
      <c r="C862" s="3"/>
      <c r="D862" s="3"/>
      <c r="E862" s="3"/>
      <c r="F862" s="3"/>
      <c r="G862" s="3"/>
      <c r="H862" s="3"/>
      <c r="I862" s="3"/>
      <c r="J862" s="3"/>
      <c r="K862" s="3"/>
    </row>
    <row r="863" spans="1:11" hidden="1" x14ac:dyDescent="0.3">
      <c r="A863" s="3"/>
      <c r="B863" s="3"/>
      <c r="C863" s="3"/>
      <c r="D863" s="3"/>
      <c r="E863" s="3"/>
      <c r="F863" s="3"/>
      <c r="G863" s="3"/>
      <c r="H863" s="3"/>
      <c r="I863" s="3"/>
      <c r="J863" s="3"/>
      <c r="K863" s="3"/>
    </row>
    <row r="864" spans="1:11" hidden="1" x14ac:dyDescent="0.3">
      <c r="A864" s="3"/>
      <c r="B864" s="3"/>
      <c r="C864" s="3"/>
      <c r="D864" s="3"/>
      <c r="E864" s="3"/>
      <c r="F864" s="3"/>
      <c r="G864" s="3"/>
      <c r="H864" s="3"/>
      <c r="I864" s="3"/>
      <c r="J864" s="3"/>
      <c r="K864" s="3"/>
    </row>
    <row r="865" spans="1:11" hidden="1" x14ac:dyDescent="0.3">
      <c r="A865" s="3"/>
      <c r="B865" s="3"/>
      <c r="C865" s="3"/>
      <c r="D865" s="3"/>
      <c r="E865" s="3"/>
      <c r="F865" s="3"/>
      <c r="G865" s="3"/>
      <c r="H865" s="3"/>
      <c r="I865" s="3"/>
      <c r="J865" s="3"/>
      <c r="K865" s="3"/>
    </row>
    <row r="866" spans="1:11" hidden="1" x14ac:dyDescent="0.3">
      <c r="A866" s="3"/>
      <c r="B866" s="3"/>
      <c r="C866" s="3"/>
      <c r="D866" s="3"/>
      <c r="E866" s="3"/>
      <c r="F866" s="3"/>
      <c r="G866" s="3"/>
      <c r="H866" s="3"/>
      <c r="I866" s="3"/>
      <c r="J866" s="3"/>
      <c r="K866" s="3"/>
    </row>
    <row r="867" spans="1:11" hidden="1" x14ac:dyDescent="0.3">
      <c r="A867" s="3"/>
      <c r="B867" s="3"/>
      <c r="C867" s="3"/>
      <c r="D867" s="3"/>
      <c r="E867" s="3"/>
      <c r="F867" s="3"/>
      <c r="G867" s="3"/>
      <c r="H867" s="3"/>
      <c r="I867" s="3"/>
      <c r="J867" s="3"/>
      <c r="K867" s="3"/>
    </row>
    <row r="868" spans="1:11" hidden="1" x14ac:dyDescent="0.3">
      <c r="A868" s="3"/>
      <c r="B868" s="3"/>
      <c r="C868" s="3"/>
      <c r="D868" s="3"/>
      <c r="E868" s="3"/>
      <c r="F868" s="3"/>
      <c r="G868" s="3"/>
      <c r="H868" s="3"/>
      <c r="I868" s="3"/>
      <c r="J868" s="3"/>
      <c r="K868" s="3"/>
    </row>
    <row r="869" spans="1:11" hidden="1" x14ac:dyDescent="0.3">
      <c r="A869" s="3"/>
      <c r="B869" s="3"/>
      <c r="C869" s="3"/>
      <c r="D869" s="3"/>
      <c r="E869" s="3"/>
      <c r="F869" s="3"/>
      <c r="G869" s="3"/>
      <c r="H869" s="3"/>
      <c r="I869" s="3"/>
      <c r="J869" s="3"/>
      <c r="K869" s="3"/>
    </row>
    <row r="870" spans="1:11" hidden="1" x14ac:dyDescent="0.3">
      <c r="A870" s="3"/>
      <c r="B870" s="3"/>
      <c r="C870" s="3"/>
      <c r="D870" s="3"/>
      <c r="E870" s="3"/>
      <c r="F870" s="3"/>
      <c r="G870" s="3"/>
      <c r="H870" s="3"/>
      <c r="I870" s="3"/>
      <c r="J870" s="3"/>
      <c r="K870" s="3"/>
    </row>
    <row r="871" spans="1:11" hidden="1" x14ac:dyDescent="0.3">
      <c r="A871" s="3"/>
      <c r="B871" s="3"/>
      <c r="C871" s="3"/>
      <c r="D871" s="3"/>
      <c r="E871" s="3"/>
      <c r="F871" s="3"/>
      <c r="G871" s="3"/>
      <c r="H871" s="3"/>
      <c r="I871" s="3"/>
      <c r="J871" s="3"/>
      <c r="K871" s="3"/>
    </row>
    <row r="872" spans="1:11" hidden="1" x14ac:dyDescent="0.3">
      <c r="A872" s="3"/>
      <c r="B872" s="3"/>
      <c r="C872" s="3"/>
      <c r="D872" s="3"/>
      <c r="E872" s="3"/>
      <c r="F872" s="3"/>
      <c r="G872" s="3"/>
      <c r="H872" s="3"/>
      <c r="I872" s="3"/>
      <c r="J872" s="3"/>
      <c r="K872" s="3"/>
    </row>
    <row r="873" spans="1:11" hidden="1" x14ac:dyDescent="0.3">
      <c r="A873" s="3"/>
      <c r="B873" s="3"/>
      <c r="C873" s="3"/>
      <c r="D873" s="3"/>
      <c r="E873" s="3"/>
      <c r="F873" s="3"/>
      <c r="G873" s="3"/>
      <c r="H873" s="3"/>
      <c r="I873" s="3"/>
      <c r="J873" s="3"/>
      <c r="K873" s="3"/>
    </row>
    <row r="874" spans="1:11" hidden="1" x14ac:dyDescent="0.3">
      <c r="A874" s="3"/>
      <c r="B874" s="3"/>
      <c r="C874" s="3"/>
      <c r="D874" s="3"/>
      <c r="E874" s="3"/>
      <c r="F874" s="3"/>
      <c r="G874" s="3"/>
      <c r="H874" s="3"/>
      <c r="I874" s="3"/>
      <c r="J874" s="3"/>
      <c r="K874" s="3"/>
    </row>
    <row r="875" spans="1:11" hidden="1" x14ac:dyDescent="0.3">
      <c r="A875" s="3"/>
      <c r="B875" s="3"/>
      <c r="C875" s="3"/>
      <c r="D875" s="3"/>
      <c r="E875" s="3"/>
      <c r="F875" s="3"/>
      <c r="G875" s="3"/>
      <c r="H875" s="3"/>
      <c r="I875" s="3"/>
      <c r="J875" s="3"/>
      <c r="K875" s="3"/>
    </row>
    <row r="876" spans="1:11" hidden="1" x14ac:dyDescent="0.3">
      <c r="A876" s="3"/>
      <c r="B876" s="3"/>
      <c r="C876" s="3"/>
      <c r="D876" s="3"/>
      <c r="E876" s="3"/>
      <c r="F876" s="3"/>
      <c r="G876" s="3"/>
      <c r="H876" s="3"/>
      <c r="I876" s="3"/>
      <c r="J876" s="3"/>
      <c r="K876" s="3"/>
    </row>
    <row r="877" spans="1:11" hidden="1" x14ac:dyDescent="0.3">
      <c r="A877" s="3"/>
      <c r="B877" s="3"/>
      <c r="C877" s="3"/>
      <c r="D877" s="3"/>
      <c r="E877" s="3"/>
      <c r="F877" s="3"/>
      <c r="G877" s="3"/>
      <c r="H877" s="3"/>
      <c r="I877" s="3"/>
      <c r="J877" s="3"/>
      <c r="K877" s="3"/>
    </row>
    <row r="878" spans="1:11" hidden="1" x14ac:dyDescent="0.3">
      <c r="A878" s="3"/>
      <c r="B878" s="3"/>
      <c r="C878" s="3"/>
      <c r="D878" s="3"/>
      <c r="E878" s="3"/>
      <c r="F878" s="3"/>
      <c r="G878" s="3"/>
      <c r="H878" s="3"/>
      <c r="I878" s="3"/>
      <c r="J878" s="3"/>
      <c r="K878" s="3"/>
    </row>
    <row r="879" spans="1:11" hidden="1" x14ac:dyDescent="0.3">
      <c r="A879" s="3"/>
      <c r="B879" s="3"/>
      <c r="C879" s="3"/>
      <c r="D879" s="3"/>
      <c r="E879" s="3"/>
      <c r="F879" s="3"/>
      <c r="G879" s="3"/>
      <c r="H879" s="3"/>
      <c r="I879" s="3"/>
      <c r="J879" s="3"/>
      <c r="K879" s="3"/>
    </row>
    <row r="880" spans="1:11" hidden="1" x14ac:dyDescent="0.3">
      <c r="A880" s="3"/>
      <c r="B880" s="3"/>
      <c r="C880" s="3"/>
      <c r="D880" s="3"/>
      <c r="E880" s="3"/>
      <c r="F880" s="3"/>
      <c r="G880" s="3"/>
      <c r="H880" s="3"/>
      <c r="I880" s="3"/>
      <c r="J880" s="3"/>
      <c r="K880" s="3"/>
    </row>
    <row r="881" spans="1:11" hidden="1" x14ac:dyDescent="0.3">
      <c r="A881" s="3"/>
      <c r="B881" s="3"/>
      <c r="C881" s="3"/>
      <c r="D881" s="3"/>
      <c r="E881" s="3"/>
      <c r="F881" s="3"/>
      <c r="G881" s="3"/>
      <c r="H881" s="3"/>
      <c r="I881" s="3"/>
      <c r="J881" s="3"/>
      <c r="K881" s="3"/>
    </row>
    <row r="882" spans="1:11" hidden="1" x14ac:dyDescent="0.3">
      <c r="A882" s="3"/>
      <c r="B882" s="3"/>
      <c r="C882" s="3"/>
      <c r="D882" s="3"/>
      <c r="E882" s="3"/>
      <c r="F882" s="3"/>
      <c r="G882" s="3"/>
      <c r="H882" s="3"/>
      <c r="I882" s="3"/>
      <c r="J882" s="3"/>
      <c r="K882" s="3"/>
    </row>
    <row r="883" spans="1:11" hidden="1" x14ac:dyDescent="0.3">
      <c r="A883" s="3"/>
      <c r="B883" s="3"/>
      <c r="C883" s="3"/>
      <c r="D883" s="3"/>
      <c r="E883" s="3"/>
      <c r="F883" s="3"/>
      <c r="G883" s="3"/>
      <c r="H883" s="3"/>
      <c r="I883" s="3"/>
      <c r="J883" s="3"/>
      <c r="K883" s="3"/>
    </row>
    <row r="884" spans="1:11" hidden="1" x14ac:dyDescent="0.3">
      <c r="A884" s="3"/>
      <c r="B884" s="3"/>
      <c r="C884" s="3"/>
      <c r="D884" s="3"/>
      <c r="E884" s="3"/>
      <c r="F884" s="3"/>
      <c r="G884" s="3"/>
      <c r="H884" s="3"/>
      <c r="I884" s="3"/>
      <c r="J884" s="3"/>
      <c r="K884" s="3"/>
    </row>
    <row r="885" spans="1:11" hidden="1" x14ac:dyDescent="0.3">
      <c r="A885" s="3"/>
      <c r="B885" s="3"/>
      <c r="C885" s="3"/>
      <c r="D885" s="3"/>
      <c r="E885" s="3"/>
      <c r="F885" s="3"/>
      <c r="G885" s="3"/>
      <c r="H885" s="3"/>
      <c r="I885" s="3"/>
      <c r="J885" s="3"/>
      <c r="K885" s="3"/>
    </row>
    <row r="886" spans="1:11" hidden="1" x14ac:dyDescent="0.3">
      <c r="A886" s="3"/>
      <c r="B886" s="3"/>
      <c r="C886" s="3"/>
      <c r="D886" s="3"/>
      <c r="E886" s="3"/>
      <c r="F886" s="3"/>
      <c r="G886" s="3"/>
      <c r="H886" s="3"/>
      <c r="I886" s="3"/>
      <c r="J886" s="3"/>
      <c r="K886" s="3"/>
    </row>
    <row r="887" spans="1:11" hidden="1" x14ac:dyDescent="0.3">
      <c r="A887" s="3"/>
      <c r="B887" s="3"/>
      <c r="C887" s="3"/>
      <c r="D887" s="3"/>
      <c r="E887" s="3"/>
      <c r="F887" s="3"/>
      <c r="G887" s="3"/>
      <c r="H887" s="3"/>
      <c r="I887" s="3"/>
      <c r="J887" s="3"/>
      <c r="K887" s="3"/>
    </row>
    <row r="888" spans="1:11" hidden="1" x14ac:dyDescent="0.3">
      <c r="A888" s="3"/>
      <c r="B888" s="3"/>
      <c r="C888" s="3"/>
      <c r="D888" s="3"/>
      <c r="E888" s="3"/>
      <c r="F888" s="3"/>
      <c r="G888" s="3"/>
      <c r="H888" s="3"/>
      <c r="I888" s="3"/>
      <c r="J888" s="3"/>
      <c r="K888" s="3"/>
    </row>
    <row r="889" spans="1:11" hidden="1" x14ac:dyDescent="0.3">
      <c r="A889" s="3"/>
      <c r="B889" s="3"/>
      <c r="C889" s="3"/>
      <c r="D889" s="3"/>
      <c r="E889" s="3"/>
      <c r="F889" s="3"/>
      <c r="G889" s="3"/>
      <c r="H889" s="3"/>
      <c r="I889" s="3"/>
      <c r="J889" s="3"/>
      <c r="K889" s="3"/>
    </row>
    <row r="890" spans="1:11" hidden="1" x14ac:dyDescent="0.3">
      <c r="A890" s="3"/>
      <c r="B890" s="3"/>
      <c r="C890" s="3"/>
      <c r="D890" s="3"/>
      <c r="E890" s="3"/>
      <c r="F890" s="3"/>
      <c r="G890" s="3"/>
      <c r="H890" s="3"/>
      <c r="I890" s="3"/>
      <c r="J890" s="3"/>
      <c r="K890" s="3"/>
    </row>
    <row r="891" spans="1:11" hidden="1" x14ac:dyDescent="0.3">
      <c r="A891" s="3"/>
      <c r="B891" s="3"/>
      <c r="C891" s="3"/>
      <c r="D891" s="3"/>
      <c r="E891" s="3"/>
      <c r="F891" s="3"/>
      <c r="G891" s="3"/>
      <c r="H891" s="3"/>
      <c r="I891" s="3"/>
      <c r="J891" s="3"/>
      <c r="K891" s="3"/>
    </row>
    <row r="892" spans="1:11" hidden="1" x14ac:dyDescent="0.3">
      <c r="A892" s="3"/>
      <c r="B892" s="3"/>
      <c r="C892" s="3"/>
      <c r="D892" s="3"/>
      <c r="E892" s="3"/>
      <c r="F892" s="3"/>
      <c r="G892" s="3"/>
      <c r="H892" s="3"/>
      <c r="I892" s="3"/>
      <c r="J892" s="3"/>
      <c r="K892" s="3"/>
    </row>
    <row r="893" spans="1:11" hidden="1" x14ac:dyDescent="0.3">
      <c r="A893" s="3"/>
      <c r="B893" s="3"/>
      <c r="C893" s="3"/>
      <c r="D893" s="3"/>
      <c r="E893" s="3"/>
      <c r="F893" s="3"/>
      <c r="G893" s="3"/>
      <c r="H893" s="3"/>
      <c r="I893" s="3"/>
      <c r="J893" s="3"/>
      <c r="K893" s="3"/>
    </row>
    <row r="894" spans="1:11" hidden="1" x14ac:dyDescent="0.3">
      <c r="A894" s="3"/>
      <c r="B894" s="3"/>
      <c r="C894" s="3"/>
      <c r="D894" s="3"/>
      <c r="E894" s="3"/>
      <c r="F894" s="3"/>
      <c r="G894" s="3"/>
      <c r="H894" s="3"/>
      <c r="I894" s="3"/>
      <c r="J894" s="3"/>
      <c r="K894" s="3"/>
    </row>
    <row r="895" spans="1:11" hidden="1" x14ac:dyDescent="0.3">
      <c r="A895" s="3"/>
      <c r="B895" s="3"/>
      <c r="C895" s="3"/>
      <c r="D895" s="3"/>
      <c r="E895" s="3"/>
      <c r="F895" s="3"/>
      <c r="G895" s="3"/>
      <c r="H895" s="3"/>
      <c r="I895" s="3"/>
      <c r="J895" s="3"/>
      <c r="K895" s="3"/>
    </row>
    <row r="896" spans="1:11" hidden="1" x14ac:dyDescent="0.3">
      <c r="A896" s="3"/>
      <c r="B896" s="3"/>
      <c r="C896" s="3"/>
      <c r="D896" s="3"/>
      <c r="E896" s="3"/>
      <c r="F896" s="3"/>
      <c r="G896" s="3"/>
      <c r="H896" s="3"/>
      <c r="I896" s="3"/>
      <c r="J896" s="3"/>
      <c r="K896" s="3"/>
    </row>
    <row r="897" spans="1:11" hidden="1" x14ac:dyDescent="0.3">
      <c r="A897" s="3"/>
      <c r="B897" s="3"/>
      <c r="C897" s="3"/>
      <c r="D897" s="3"/>
      <c r="E897" s="3"/>
      <c r="F897" s="3"/>
      <c r="G897" s="3"/>
      <c r="H897" s="3"/>
      <c r="I897" s="3"/>
      <c r="J897" s="3"/>
      <c r="K897" s="3"/>
    </row>
    <row r="898" spans="1:11" hidden="1" x14ac:dyDescent="0.3">
      <c r="A898" s="3"/>
      <c r="B898" s="3"/>
      <c r="C898" s="3"/>
      <c r="D898" s="3"/>
      <c r="E898" s="3"/>
      <c r="F898" s="3"/>
      <c r="G898" s="3"/>
      <c r="H898" s="3"/>
      <c r="I898" s="3"/>
      <c r="J898" s="3"/>
      <c r="K898" s="3"/>
    </row>
    <row r="899" spans="1:11" hidden="1" x14ac:dyDescent="0.3">
      <c r="A899" s="3"/>
      <c r="B899" s="3"/>
      <c r="C899" s="3"/>
      <c r="D899" s="3"/>
      <c r="E899" s="3"/>
      <c r="F899" s="3"/>
      <c r="G899" s="3"/>
      <c r="H899" s="3"/>
      <c r="I899" s="3"/>
      <c r="J899" s="3"/>
      <c r="K899" s="3"/>
    </row>
    <row r="900" spans="1:11" hidden="1" x14ac:dyDescent="0.3">
      <c r="A900" s="3"/>
      <c r="B900" s="3"/>
      <c r="C900" s="3"/>
      <c r="D900" s="3"/>
      <c r="E900" s="3"/>
      <c r="F900" s="3"/>
      <c r="G900" s="3"/>
      <c r="H900" s="3"/>
      <c r="I900" s="3"/>
      <c r="J900" s="3"/>
      <c r="K900" s="3"/>
    </row>
    <row r="901" spans="1:11" hidden="1" x14ac:dyDescent="0.3">
      <c r="A901" s="3"/>
      <c r="B901" s="3"/>
      <c r="C901" s="3"/>
      <c r="D901" s="3"/>
      <c r="E901" s="3"/>
      <c r="F901" s="3"/>
      <c r="G901" s="3"/>
      <c r="H901" s="3"/>
      <c r="I901" s="3"/>
      <c r="J901" s="3"/>
      <c r="K901" s="3"/>
    </row>
    <row r="902" spans="1:11" hidden="1" x14ac:dyDescent="0.3">
      <c r="A902" s="3"/>
      <c r="B902" s="3"/>
      <c r="C902" s="3"/>
      <c r="D902" s="3"/>
      <c r="E902" s="3"/>
      <c r="F902" s="3"/>
      <c r="G902" s="3"/>
      <c r="H902" s="3"/>
      <c r="I902" s="3"/>
      <c r="J902" s="3"/>
      <c r="K902" s="3"/>
    </row>
    <row r="903" spans="1:11" hidden="1" x14ac:dyDescent="0.3">
      <c r="A903" s="3"/>
      <c r="B903" s="3"/>
      <c r="C903" s="3"/>
      <c r="D903" s="3"/>
      <c r="E903" s="3"/>
      <c r="F903" s="3"/>
      <c r="G903" s="3"/>
      <c r="H903" s="3"/>
      <c r="I903" s="3"/>
      <c r="J903" s="3"/>
      <c r="K903" s="3"/>
    </row>
    <row r="904" spans="1:11" hidden="1" x14ac:dyDescent="0.3">
      <c r="A904" s="3"/>
      <c r="B904" s="3"/>
      <c r="C904" s="3"/>
      <c r="D904" s="3"/>
      <c r="E904" s="3"/>
      <c r="F904" s="3"/>
      <c r="G904" s="3"/>
      <c r="H904" s="3"/>
      <c r="I904" s="3"/>
      <c r="J904" s="3"/>
      <c r="K904" s="3"/>
    </row>
    <row r="905" spans="1:11" hidden="1" x14ac:dyDescent="0.3">
      <c r="A905" s="3"/>
      <c r="B905" s="3"/>
      <c r="C905" s="3"/>
      <c r="D905" s="3"/>
      <c r="E905" s="3"/>
      <c r="F905" s="3"/>
      <c r="G905" s="3"/>
      <c r="H905" s="3"/>
      <c r="I905" s="3"/>
      <c r="J905" s="3"/>
      <c r="K905" s="3"/>
    </row>
    <row r="906" spans="1:11" hidden="1" x14ac:dyDescent="0.3">
      <c r="A906" s="3"/>
      <c r="B906" s="3"/>
      <c r="C906" s="3"/>
      <c r="D906" s="3"/>
      <c r="E906" s="3"/>
      <c r="F906" s="3"/>
      <c r="G906" s="3"/>
      <c r="H906" s="3"/>
      <c r="I906" s="3"/>
      <c r="J906" s="3"/>
      <c r="K906" s="3"/>
    </row>
    <row r="907" spans="1:11" hidden="1" x14ac:dyDescent="0.3">
      <c r="A907" s="3"/>
      <c r="B907" s="3"/>
      <c r="C907" s="3"/>
      <c r="D907" s="3"/>
      <c r="E907" s="3"/>
      <c r="F907" s="3"/>
      <c r="G907" s="3"/>
      <c r="H907" s="3"/>
      <c r="I907" s="3"/>
      <c r="J907" s="3"/>
      <c r="K907" s="3"/>
    </row>
    <row r="908" spans="1:11" hidden="1" x14ac:dyDescent="0.3">
      <c r="A908" s="3"/>
      <c r="B908" s="3"/>
      <c r="C908" s="3"/>
      <c r="D908" s="3"/>
      <c r="E908" s="3"/>
      <c r="F908" s="3"/>
      <c r="G908" s="3"/>
      <c r="H908" s="3"/>
      <c r="I908" s="3"/>
      <c r="J908" s="3"/>
      <c r="K908" s="3"/>
    </row>
    <row r="909" spans="1:11" hidden="1" x14ac:dyDescent="0.3">
      <c r="A909" s="3"/>
      <c r="B909" s="3"/>
      <c r="C909" s="3"/>
      <c r="D909" s="3"/>
      <c r="E909" s="3"/>
      <c r="F909" s="3"/>
      <c r="G909" s="3"/>
      <c r="H909" s="3"/>
      <c r="I909" s="3"/>
      <c r="J909" s="3"/>
      <c r="K909" s="3"/>
    </row>
    <row r="910" spans="1:11" hidden="1" x14ac:dyDescent="0.3">
      <c r="A910" s="3"/>
      <c r="B910" s="3"/>
      <c r="C910" s="3"/>
      <c r="D910" s="3"/>
      <c r="E910" s="3"/>
      <c r="F910" s="3"/>
      <c r="G910" s="3"/>
      <c r="H910" s="3"/>
      <c r="I910" s="3"/>
      <c r="J910" s="3"/>
      <c r="K910" s="3"/>
    </row>
    <row r="911" spans="1:11" hidden="1" x14ac:dyDescent="0.3">
      <c r="A911" s="3"/>
      <c r="B911" s="3"/>
      <c r="C911" s="3"/>
      <c r="D911" s="3"/>
      <c r="E911" s="3"/>
      <c r="F911" s="3"/>
      <c r="G911" s="3"/>
      <c r="H911" s="3"/>
      <c r="I911" s="3"/>
      <c r="J911" s="3"/>
      <c r="K911" s="3"/>
    </row>
    <row r="912" spans="1:11" hidden="1" x14ac:dyDescent="0.3">
      <c r="A912" s="3"/>
      <c r="B912" s="3"/>
      <c r="C912" s="3"/>
      <c r="D912" s="3"/>
      <c r="E912" s="3"/>
      <c r="F912" s="3"/>
      <c r="G912" s="3"/>
      <c r="H912" s="3"/>
      <c r="I912" s="3"/>
      <c r="J912" s="3"/>
      <c r="K912" s="3"/>
    </row>
    <row r="913" spans="1:11" hidden="1" x14ac:dyDescent="0.3">
      <c r="A913" s="3"/>
      <c r="B913" s="3"/>
      <c r="C913" s="3"/>
      <c r="D913" s="3"/>
      <c r="E913" s="3"/>
      <c r="F913" s="3"/>
      <c r="G913" s="3"/>
      <c r="H913" s="3"/>
      <c r="I913" s="3"/>
      <c r="J913" s="3"/>
      <c r="K913" s="3"/>
    </row>
    <row r="914" spans="1:11" hidden="1" x14ac:dyDescent="0.3">
      <c r="A914" s="3"/>
      <c r="B914" s="3"/>
      <c r="C914" s="3"/>
      <c r="D914" s="3"/>
      <c r="E914" s="3"/>
      <c r="F914" s="3"/>
      <c r="G914" s="3"/>
      <c r="H914" s="3"/>
      <c r="I914" s="3"/>
      <c r="J914" s="3"/>
      <c r="K914" s="3"/>
    </row>
    <row r="915" spans="1:11" hidden="1" x14ac:dyDescent="0.3">
      <c r="A915" s="3"/>
      <c r="B915" s="3"/>
      <c r="C915" s="3"/>
      <c r="D915" s="3"/>
      <c r="E915" s="3"/>
      <c r="F915" s="3"/>
      <c r="G915" s="3"/>
      <c r="H915" s="3"/>
      <c r="I915" s="3"/>
      <c r="J915" s="3"/>
      <c r="K915" s="3"/>
    </row>
    <row r="916" spans="1:11" hidden="1" x14ac:dyDescent="0.3">
      <c r="A916" s="3"/>
      <c r="B916" s="3"/>
      <c r="C916" s="3"/>
      <c r="D916" s="3"/>
      <c r="E916" s="3"/>
      <c r="F916" s="3"/>
      <c r="G916" s="3"/>
      <c r="H916" s="3"/>
      <c r="I916" s="3"/>
      <c r="J916" s="3"/>
      <c r="K916" s="3"/>
    </row>
    <row r="917" spans="1:11" hidden="1" x14ac:dyDescent="0.3">
      <c r="A917" s="3"/>
      <c r="B917" s="3"/>
      <c r="C917" s="3"/>
      <c r="D917" s="3"/>
      <c r="E917" s="3"/>
      <c r="F917" s="3"/>
      <c r="G917" s="3"/>
      <c r="H917" s="3"/>
      <c r="I917" s="3"/>
      <c r="J917" s="3"/>
      <c r="K917" s="3"/>
    </row>
    <row r="918" spans="1:11" hidden="1" x14ac:dyDescent="0.3">
      <c r="A918" s="3"/>
      <c r="B918" s="3"/>
      <c r="C918" s="3"/>
      <c r="D918" s="3"/>
      <c r="E918" s="3"/>
      <c r="F918" s="3"/>
      <c r="G918" s="3"/>
      <c r="H918" s="3"/>
      <c r="I918" s="3"/>
      <c r="J918" s="3"/>
      <c r="K918" s="3"/>
    </row>
    <row r="919" spans="1:11" hidden="1" x14ac:dyDescent="0.3">
      <c r="A919" s="3"/>
      <c r="B919" s="3"/>
      <c r="C919" s="3"/>
      <c r="D919" s="3"/>
      <c r="E919" s="3"/>
      <c r="F919" s="3"/>
      <c r="G919" s="3"/>
      <c r="H919" s="3"/>
      <c r="I919" s="3"/>
      <c r="J919" s="3"/>
      <c r="K919" s="3"/>
    </row>
    <row r="920" spans="1:11" hidden="1" x14ac:dyDescent="0.3">
      <c r="A920" s="3"/>
      <c r="B920" s="3"/>
      <c r="C920" s="3"/>
      <c r="D920" s="3"/>
      <c r="E920" s="3"/>
      <c r="F920" s="3"/>
      <c r="G920" s="3"/>
      <c r="H920" s="3"/>
      <c r="I920" s="3"/>
      <c r="J920" s="3"/>
      <c r="K920" s="3"/>
    </row>
    <row r="921" spans="1:11" hidden="1" x14ac:dyDescent="0.3">
      <c r="A921" s="3"/>
      <c r="B921" s="3"/>
      <c r="C921" s="3"/>
      <c r="D921" s="3"/>
      <c r="E921" s="3"/>
      <c r="F921" s="3"/>
      <c r="G921" s="3"/>
      <c r="H921" s="3"/>
      <c r="I921" s="3"/>
      <c r="J921" s="3"/>
      <c r="K921" s="3"/>
    </row>
    <row r="922" spans="1:11" hidden="1" x14ac:dyDescent="0.3">
      <c r="A922" s="3"/>
      <c r="B922" s="3"/>
      <c r="C922" s="3"/>
      <c r="D922" s="3"/>
      <c r="E922" s="3"/>
      <c r="F922" s="3"/>
      <c r="G922" s="3"/>
      <c r="H922" s="3"/>
      <c r="I922" s="3"/>
      <c r="J922" s="3"/>
      <c r="K922" s="3"/>
    </row>
    <row r="923" spans="1:11" hidden="1" x14ac:dyDescent="0.3">
      <c r="A923" s="3"/>
      <c r="B923" s="3"/>
      <c r="C923" s="3"/>
      <c r="D923" s="3"/>
      <c r="E923" s="3"/>
      <c r="F923" s="3"/>
      <c r="G923" s="3"/>
      <c r="H923" s="3"/>
      <c r="I923" s="3"/>
      <c r="J923" s="3"/>
      <c r="K923" s="3"/>
    </row>
    <row r="924" spans="1:11" hidden="1" x14ac:dyDescent="0.3">
      <c r="A924" s="3"/>
      <c r="B924" s="3"/>
      <c r="C924" s="3"/>
      <c r="D924" s="3"/>
      <c r="E924" s="3"/>
      <c r="F924" s="3"/>
      <c r="G924" s="3"/>
      <c r="H924" s="3"/>
      <c r="I924" s="3"/>
      <c r="J924" s="3"/>
      <c r="K924" s="3"/>
    </row>
    <row r="925" spans="1:11" hidden="1" x14ac:dyDescent="0.3">
      <c r="A925" s="3"/>
      <c r="B925" s="3"/>
      <c r="C925" s="3"/>
      <c r="D925" s="3"/>
      <c r="E925" s="3"/>
      <c r="F925" s="3"/>
      <c r="G925" s="3"/>
      <c r="H925" s="3"/>
      <c r="I925" s="3"/>
      <c r="J925" s="3"/>
      <c r="K925" s="3"/>
    </row>
    <row r="926" spans="1:11" hidden="1" x14ac:dyDescent="0.3">
      <c r="A926" s="3"/>
      <c r="B926" s="3"/>
      <c r="C926" s="3"/>
      <c r="D926" s="3"/>
      <c r="E926" s="3"/>
      <c r="F926" s="3"/>
      <c r="G926" s="3"/>
      <c r="H926" s="3"/>
      <c r="I926" s="3"/>
      <c r="J926" s="3"/>
      <c r="K926" s="3"/>
    </row>
    <row r="927" spans="1:11" hidden="1" x14ac:dyDescent="0.3">
      <c r="A927" s="3"/>
      <c r="B927" s="3"/>
      <c r="C927" s="3"/>
      <c r="D927" s="3"/>
      <c r="E927" s="3"/>
      <c r="F927" s="3"/>
      <c r="G927" s="3"/>
      <c r="H927" s="3"/>
      <c r="I927" s="3"/>
      <c r="J927" s="3"/>
      <c r="K927" s="3"/>
    </row>
    <row r="928" spans="1:11" hidden="1" x14ac:dyDescent="0.3">
      <c r="A928" s="3"/>
      <c r="B928" s="3"/>
      <c r="C928" s="3"/>
      <c r="D928" s="3"/>
      <c r="E928" s="3"/>
      <c r="F928" s="3"/>
      <c r="G928" s="3"/>
      <c r="H928" s="3"/>
      <c r="I928" s="3"/>
      <c r="J928" s="3"/>
      <c r="K928" s="3"/>
    </row>
    <row r="929" spans="1:11" hidden="1" x14ac:dyDescent="0.3">
      <c r="A929" s="3"/>
      <c r="B929" s="3"/>
      <c r="C929" s="3"/>
      <c r="D929" s="3"/>
      <c r="E929" s="3"/>
      <c r="F929" s="3"/>
      <c r="G929" s="3"/>
      <c r="H929" s="3"/>
      <c r="I929" s="3"/>
      <c r="J929" s="3"/>
      <c r="K929" s="3"/>
    </row>
    <row r="930" spans="1:11" hidden="1" x14ac:dyDescent="0.3">
      <c r="A930" s="3"/>
      <c r="B930" s="3"/>
      <c r="C930" s="3"/>
      <c r="D930" s="3"/>
      <c r="E930" s="3"/>
      <c r="F930" s="3"/>
      <c r="G930" s="3"/>
      <c r="H930" s="3"/>
      <c r="I930" s="3"/>
      <c r="J930" s="3"/>
      <c r="K930" s="3"/>
    </row>
    <row r="931" spans="1:11" hidden="1" x14ac:dyDescent="0.3">
      <c r="A931" s="3"/>
      <c r="B931" s="3"/>
      <c r="C931" s="3"/>
      <c r="D931" s="3"/>
      <c r="E931" s="3"/>
      <c r="F931" s="3"/>
      <c r="G931" s="3"/>
      <c r="H931" s="3"/>
      <c r="I931" s="3"/>
      <c r="J931" s="3"/>
      <c r="K931" s="3"/>
    </row>
    <row r="932" spans="1:11" hidden="1" x14ac:dyDescent="0.3">
      <c r="A932" s="3"/>
      <c r="B932" s="3"/>
      <c r="C932" s="3"/>
      <c r="D932" s="3"/>
      <c r="E932" s="3"/>
      <c r="F932" s="3"/>
      <c r="G932" s="3"/>
      <c r="H932" s="3"/>
      <c r="I932" s="3"/>
      <c r="J932" s="3"/>
      <c r="K932" s="3"/>
    </row>
    <row r="933" spans="1:11" hidden="1" x14ac:dyDescent="0.3">
      <c r="A933" s="3"/>
      <c r="B933" s="3"/>
      <c r="C933" s="3"/>
      <c r="D933" s="3"/>
      <c r="E933" s="3"/>
      <c r="F933" s="3"/>
      <c r="G933" s="3"/>
      <c r="H933" s="3"/>
      <c r="I933" s="3"/>
      <c r="J933" s="3"/>
      <c r="K933" s="3"/>
    </row>
    <row r="934" spans="1:11" hidden="1" x14ac:dyDescent="0.3">
      <c r="A934" s="3"/>
      <c r="B934" s="3"/>
      <c r="C934" s="3"/>
      <c r="D934" s="3"/>
      <c r="E934" s="3"/>
      <c r="F934" s="3"/>
      <c r="G934" s="3"/>
      <c r="H934" s="3"/>
      <c r="I934" s="3"/>
      <c r="J934" s="3"/>
      <c r="K934" s="3"/>
    </row>
    <row r="935" spans="1:11" hidden="1" x14ac:dyDescent="0.3">
      <c r="A935" s="3"/>
      <c r="B935" s="3"/>
      <c r="C935" s="3"/>
      <c r="D935" s="3"/>
      <c r="E935" s="3"/>
      <c r="F935" s="3"/>
      <c r="G935" s="3"/>
      <c r="H935" s="3"/>
      <c r="I935" s="3"/>
      <c r="J935" s="3"/>
      <c r="K935" s="3"/>
    </row>
    <row r="936" spans="1:11" hidden="1" x14ac:dyDescent="0.3">
      <c r="A936" s="3"/>
      <c r="B936" s="3"/>
      <c r="C936" s="3"/>
      <c r="D936" s="3"/>
      <c r="E936" s="3"/>
      <c r="F936" s="3"/>
      <c r="G936" s="3"/>
      <c r="H936" s="3"/>
      <c r="I936" s="3"/>
      <c r="J936" s="3"/>
      <c r="K936" s="3"/>
    </row>
    <row r="937" spans="1:11" hidden="1" x14ac:dyDescent="0.3">
      <c r="A937" s="3"/>
      <c r="B937" s="3"/>
      <c r="C937" s="3"/>
      <c r="D937" s="3"/>
      <c r="E937" s="3"/>
      <c r="F937" s="3"/>
      <c r="G937" s="3"/>
      <c r="H937" s="3"/>
      <c r="I937" s="3"/>
      <c r="J937" s="3"/>
      <c r="K937" s="3"/>
    </row>
    <row r="938" spans="1:11" hidden="1" x14ac:dyDescent="0.3">
      <c r="A938" s="3"/>
      <c r="B938" s="3"/>
      <c r="C938" s="3"/>
      <c r="D938" s="3"/>
      <c r="E938" s="3"/>
      <c r="F938" s="3"/>
      <c r="G938" s="3"/>
      <c r="H938" s="3"/>
      <c r="I938" s="3"/>
      <c r="J938" s="3"/>
      <c r="K938" s="3"/>
    </row>
    <row r="939" spans="1:11" hidden="1" x14ac:dyDescent="0.3">
      <c r="A939" s="3"/>
      <c r="B939" s="3"/>
      <c r="C939" s="3"/>
      <c r="D939" s="3"/>
      <c r="E939" s="3"/>
      <c r="F939" s="3"/>
      <c r="G939" s="3"/>
      <c r="H939" s="3"/>
      <c r="I939" s="3"/>
      <c r="J939" s="3"/>
      <c r="K939" s="3"/>
    </row>
    <row r="940" spans="1:11" hidden="1" x14ac:dyDescent="0.3">
      <c r="A940" s="3"/>
      <c r="B940" s="3"/>
      <c r="C940" s="3"/>
      <c r="D940" s="3"/>
      <c r="E940" s="3"/>
      <c r="F940" s="3"/>
      <c r="G940" s="3"/>
      <c r="H940" s="3"/>
      <c r="I940" s="3"/>
      <c r="J940" s="3"/>
      <c r="K940" s="3"/>
    </row>
    <row r="941" spans="1:11" hidden="1" x14ac:dyDescent="0.3">
      <c r="A941" s="3"/>
      <c r="B941" s="3"/>
      <c r="C941" s="3"/>
      <c r="D941" s="3"/>
      <c r="E941" s="3"/>
      <c r="F941" s="3"/>
      <c r="G941" s="3"/>
      <c r="H941" s="3"/>
      <c r="I941" s="3"/>
      <c r="J941" s="3"/>
      <c r="K941" s="3"/>
    </row>
    <row r="942" spans="1:11" hidden="1" x14ac:dyDescent="0.3">
      <c r="A942" s="3"/>
      <c r="B942" s="3"/>
      <c r="C942" s="3"/>
      <c r="D942" s="3"/>
      <c r="E942" s="3"/>
      <c r="F942" s="3"/>
      <c r="G942" s="3"/>
      <c r="H942" s="3"/>
      <c r="I942" s="3"/>
      <c r="J942" s="3"/>
      <c r="K942" s="3"/>
    </row>
    <row r="943" spans="1:11" hidden="1" x14ac:dyDescent="0.3">
      <c r="A943" s="3"/>
      <c r="B943" s="3"/>
      <c r="C943" s="3"/>
      <c r="D943" s="3"/>
      <c r="E943" s="3"/>
      <c r="F943" s="3"/>
      <c r="G943" s="3"/>
      <c r="H943" s="3"/>
      <c r="I943" s="3"/>
      <c r="J943" s="3"/>
      <c r="K943" s="3"/>
    </row>
    <row r="944" spans="1:11" hidden="1" x14ac:dyDescent="0.3">
      <c r="A944" s="3"/>
      <c r="B944" s="3"/>
      <c r="C944" s="3"/>
      <c r="D944" s="3"/>
      <c r="E944" s="3"/>
      <c r="F944" s="3"/>
      <c r="G944" s="3"/>
      <c r="H944" s="3"/>
      <c r="I944" s="3"/>
      <c r="J944" s="3"/>
      <c r="K944" s="3"/>
    </row>
    <row r="945" spans="1:11" hidden="1" x14ac:dyDescent="0.3">
      <c r="A945" s="3"/>
      <c r="B945" s="3"/>
      <c r="C945" s="3"/>
      <c r="D945" s="3"/>
      <c r="E945" s="3"/>
      <c r="F945" s="3"/>
      <c r="G945" s="3"/>
      <c r="H945" s="3"/>
      <c r="I945" s="3"/>
      <c r="J945" s="3"/>
      <c r="K945" s="3"/>
    </row>
    <row r="946" spans="1:11" hidden="1" x14ac:dyDescent="0.3">
      <c r="A946" s="3"/>
      <c r="B946" s="3"/>
      <c r="C946" s="3"/>
      <c r="D946" s="3"/>
      <c r="E946" s="3"/>
      <c r="F946" s="3"/>
      <c r="G946" s="3"/>
      <c r="H946" s="3"/>
      <c r="I946" s="3"/>
      <c r="J946" s="3"/>
      <c r="K946" s="3"/>
    </row>
    <row r="947" spans="1:11" hidden="1" x14ac:dyDescent="0.3">
      <c r="A947" s="3"/>
      <c r="B947" s="3"/>
      <c r="C947" s="3"/>
      <c r="D947" s="3"/>
      <c r="E947" s="3"/>
      <c r="F947" s="3"/>
      <c r="G947" s="3"/>
      <c r="H947" s="3"/>
      <c r="I947" s="3"/>
      <c r="J947" s="3"/>
      <c r="K947" s="3"/>
    </row>
    <row r="948" spans="1:11" hidden="1" x14ac:dyDescent="0.3">
      <c r="A948" s="3"/>
      <c r="B948" s="3"/>
      <c r="C948" s="3"/>
      <c r="D948" s="3"/>
      <c r="E948" s="3"/>
      <c r="F948" s="3"/>
      <c r="G948" s="3"/>
      <c r="H948" s="3"/>
      <c r="I948" s="3"/>
      <c r="J948" s="3"/>
      <c r="K948" s="3"/>
    </row>
    <row r="949" spans="1:11" hidden="1" x14ac:dyDescent="0.3">
      <c r="A949" s="3"/>
      <c r="B949" s="3"/>
      <c r="C949" s="3"/>
      <c r="D949" s="3"/>
      <c r="E949" s="3"/>
      <c r="F949" s="3"/>
      <c r="G949" s="3"/>
      <c r="H949" s="3"/>
      <c r="I949" s="3"/>
      <c r="J949" s="3"/>
      <c r="K949" s="3"/>
    </row>
    <row r="950" spans="1:11" hidden="1" x14ac:dyDescent="0.3">
      <c r="A950" s="3"/>
      <c r="B950" s="3"/>
      <c r="C950" s="3"/>
      <c r="D950" s="3"/>
      <c r="E950" s="3"/>
      <c r="F950" s="3"/>
      <c r="G950" s="3"/>
      <c r="H950" s="3"/>
      <c r="I950" s="3"/>
      <c r="J950" s="3"/>
      <c r="K950" s="3"/>
    </row>
    <row r="951" spans="1:11" hidden="1" x14ac:dyDescent="0.3">
      <c r="A951" s="3"/>
      <c r="B951" s="3"/>
      <c r="C951" s="3"/>
      <c r="D951" s="3"/>
      <c r="E951" s="3"/>
      <c r="F951" s="3"/>
      <c r="G951" s="3"/>
      <c r="H951" s="3"/>
      <c r="I951" s="3"/>
      <c r="J951" s="3"/>
      <c r="K951" s="3"/>
    </row>
    <row r="952" spans="1:11" hidden="1" x14ac:dyDescent="0.3">
      <c r="A952" s="3"/>
      <c r="B952" s="3"/>
      <c r="C952" s="3"/>
      <c r="D952" s="3"/>
      <c r="E952" s="3"/>
      <c r="F952" s="3"/>
      <c r="G952" s="3"/>
      <c r="H952" s="3"/>
      <c r="I952" s="3"/>
      <c r="J952" s="3"/>
      <c r="K952" s="3"/>
    </row>
    <row r="953" spans="1:11" hidden="1" x14ac:dyDescent="0.3">
      <c r="A953" s="3"/>
      <c r="B953" s="3"/>
      <c r="C953" s="3"/>
      <c r="D953" s="3"/>
      <c r="E953" s="3"/>
      <c r="F953" s="3"/>
      <c r="G953" s="3"/>
      <c r="H953" s="3"/>
      <c r="I953" s="3"/>
      <c r="J953" s="3"/>
      <c r="K953" s="3"/>
    </row>
    <row r="954" spans="1:11" hidden="1" x14ac:dyDescent="0.3">
      <c r="A954" s="3"/>
      <c r="B954" s="3"/>
      <c r="C954" s="3"/>
      <c r="D954" s="3"/>
      <c r="E954" s="3"/>
      <c r="F954" s="3"/>
      <c r="G954" s="3"/>
      <c r="H954" s="3"/>
      <c r="I954" s="3"/>
      <c r="J954" s="3"/>
      <c r="K954" s="3"/>
    </row>
    <row r="955" spans="1:11" hidden="1" x14ac:dyDescent="0.3">
      <c r="A955" s="3"/>
      <c r="B955" s="3"/>
      <c r="C955" s="3"/>
      <c r="D955" s="3"/>
      <c r="E955" s="3"/>
      <c r="F955" s="3"/>
      <c r="G955" s="3"/>
      <c r="H955" s="3"/>
      <c r="I955" s="3"/>
      <c r="J955" s="3"/>
      <c r="K955" s="3"/>
    </row>
    <row r="956" spans="1:11" hidden="1" x14ac:dyDescent="0.3">
      <c r="A956" s="3"/>
      <c r="B956" s="3"/>
      <c r="C956" s="3"/>
      <c r="D956" s="3"/>
      <c r="E956" s="3"/>
      <c r="F956" s="3"/>
      <c r="G956" s="3"/>
      <c r="H956" s="3"/>
      <c r="I956" s="3"/>
      <c r="J956" s="3"/>
      <c r="K956" s="3"/>
    </row>
    <row r="957" spans="1:11" hidden="1" x14ac:dyDescent="0.3">
      <c r="A957" s="3"/>
      <c r="B957" s="3"/>
      <c r="C957" s="3"/>
      <c r="D957" s="3"/>
      <c r="E957" s="3"/>
      <c r="F957" s="3"/>
      <c r="G957" s="3"/>
      <c r="H957" s="3"/>
      <c r="I957" s="3"/>
      <c r="J957" s="3"/>
      <c r="K957" s="3"/>
    </row>
    <row r="958" spans="1:11" hidden="1" x14ac:dyDescent="0.3">
      <c r="A958" s="3"/>
      <c r="B958" s="3"/>
      <c r="C958" s="3"/>
      <c r="D958" s="3"/>
      <c r="E958" s="3"/>
      <c r="F958" s="3"/>
      <c r="G958" s="3"/>
      <c r="H958" s="3"/>
      <c r="I958" s="3"/>
      <c r="J958" s="3"/>
      <c r="K958" s="3"/>
    </row>
    <row r="959" spans="1:11" hidden="1" x14ac:dyDescent="0.3">
      <c r="A959" s="3"/>
      <c r="B959" s="3"/>
      <c r="C959" s="3"/>
      <c r="D959" s="3"/>
      <c r="E959" s="3"/>
      <c r="F959" s="3"/>
      <c r="G959" s="3"/>
      <c r="H959" s="3"/>
      <c r="I959" s="3"/>
      <c r="J959" s="3"/>
      <c r="K959" s="3"/>
    </row>
    <row r="960" spans="1:11" hidden="1" x14ac:dyDescent="0.3">
      <c r="A960" s="3"/>
      <c r="B960" s="3"/>
      <c r="C960" s="3"/>
      <c r="D960" s="3"/>
      <c r="E960" s="3"/>
      <c r="F960" s="3"/>
      <c r="G960" s="3"/>
      <c r="H960" s="3"/>
      <c r="I960" s="3"/>
      <c r="J960" s="3"/>
      <c r="K960" s="3"/>
    </row>
    <row r="961" spans="1:11" hidden="1" x14ac:dyDescent="0.3">
      <c r="A961" s="3"/>
      <c r="B961" s="3"/>
      <c r="C961" s="3"/>
      <c r="D961" s="3"/>
      <c r="E961" s="3"/>
      <c r="F961" s="3"/>
      <c r="G961" s="3"/>
      <c r="H961" s="3"/>
      <c r="I961" s="3"/>
      <c r="J961" s="3"/>
      <c r="K961" s="3"/>
    </row>
    <row r="962" spans="1:11" hidden="1" x14ac:dyDescent="0.3">
      <c r="A962" s="3"/>
      <c r="B962" s="3"/>
      <c r="C962" s="3"/>
      <c r="D962" s="3"/>
      <c r="E962" s="3"/>
      <c r="F962" s="3"/>
      <c r="G962" s="3"/>
      <c r="H962" s="3"/>
      <c r="I962" s="3"/>
      <c r="J962" s="3"/>
      <c r="K962" s="3"/>
    </row>
    <row r="963" spans="1:11" x14ac:dyDescent="0.3"/>
  </sheetData>
  <sheetProtection algorithmName="SHA-512" hashValue="EQPOQf93V5HHvAiAxBorlonM/F+AKzNkQKGXTdOfcLKFLDfMmkpLbgnDHabWveG8sALThpd2vdziklN0JKq5xA==" saltValue="1eodEqwSFaE8xubHA9DGIA==" spinCount="100000" sheet="1" objects="1" scenarios="1"/>
  <autoFilter ref="A2:V333" xr:uid="{7A8EA376-A694-4C57-ABC3-273136BB8C1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f2d844a-8a7a-4dad-9248-3ba96d115902" xsi:nil="true"/>
    <lcf76f155ced4ddcb4097134ff3c332f xmlns="c608694e-a978-433c-8508-a9de24f0178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F3F032F598DCD408FDADE655524E275" ma:contentTypeVersion="13" ma:contentTypeDescription="Create a new document." ma:contentTypeScope="" ma:versionID="81700309c5775be8395d01a6a4c62f2b">
  <xsd:schema xmlns:xsd="http://www.w3.org/2001/XMLSchema" xmlns:xs="http://www.w3.org/2001/XMLSchema" xmlns:p="http://schemas.microsoft.com/office/2006/metadata/properties" xmlns:ns2="c608694e-a978-433c-8508-a9de24f01786" xmlns:ns3="2f2d844a-8a7a-4dad-9248-3ba96d115902" targetNamespace="http://schemas.microsoft.com/office/2006/metadata/properties" ma:root="true" ma:fieldsID="50ed75431ac2dd997a8703e302bf6c6c" ns2:_="" ns3:_="">
    <xsd:import namespace="c608694e-a978-433c-8508-a9de24f01786"/>
    <xsd:import namespace="2f2d844a-8a7a-4dad-9248-3ba96d11590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08694e-a978-433c-8508-a9de24f017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1f6a1b9-31da-41b4-9968-ab5920ebdb6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2d844a-8a7a-4dad-9248-3ba96d11590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bbba9ea-ceb4-4b0e-bfa8-e8cc3734094d}" ma:internalName="TaxCatchAll" ma:showField="CatchAllData" ma:web="2f2d844a-8a7a-4dad-9248-3ba96d115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7CA352-70DF-4A8C-BE16-1BA25A2D45EE}">
  <ds:schemaRefs>
    <ds:schemaRef ds:uri="http://schemas.microsoft.com/sharepoint/v3/contenttype/forms"/>
  </ds:schemaRefs>
</ds:datastoreItem>
</file>

<file path=customXml/itemProps2.xml><?xml version="1.0" encoding="utf-8"?>
<ds:datastoreItem xmlns:ds="http://schemas.openxmlformats.org/officeDocument/2006/customXml" ds:itemID="{B9DF336D-6B97-407A-8300-C0C188644765}">
  <ds:schemaRefs>
    <ds:schemaRef ds:uri="c608694e-a978-433c-8508-a9de24f01786"/>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2f2d844a-8a7a-4dad-9248-3ba96d115902"/>
    <ds:schemaRef ds:uri="http://purl.org/dc/dcmitype/"/>
    <ds:schemaRef ds:uri="http://purl.org/dc/elements/1.1/"/>
  </ds:schemaRefs>
</ds:datastoreItem>
</file>

<file path=customXml/itemProps3.xml><?xml version="1.0" encoding="utf-8"?>
<ds:datastoreItem xmlns:ds="http://schemas.openxmlformats.org/officeDocument/2006/customXml" ds:itemID="{CFC5CD8A-C44F-41CE-8A79-D4DE244977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08694e-a978-433c-8508-a9de24f01786"/>
    <ds:schemaRef ds:uri="2f2d844a-8a7a-4dad-9248-3ba96d115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START HERE</vt:lpstr>
      <vt:lpstr>Organization</vt:lpstr>
      <vt:lpstr>Product</vt:lpstr>
      <vt:lpstr>Infrastructure</vt:lpstr>
      <vt:lpstr>IT Accessibility</vt:lpstr>
      <vt:lpstr>Case-Specific</vt:lpstr>
      <vt:lpstr>AI</vt:lpstr>
      <vt:lpstr>Privacy</vt:lpstr>
      <vt:lpstr>Institution Evaluation</vt:lpstr>
      <vt:lpstr>High-Risk Evaluation</vt:lpstr>
      <vt:lpstr>Privacy Analyst Evaluation</vt:lpstr>
      <vt:lpstr>Analyst Reference</vt:lpstr>
      <vt:lpstr>Questions</vt:lpstr>
      <vt:lpstr>Auto Responses</vt:lpstr>
      <vt:lpstr>(backend scoring)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HECVAT 4.0</dc:title>
  <dc:subject/>
  <dc:creator>BJ Hollowell</dc:creator>
  <cp:keywords/>
  <dc:description/>
  <cp:lastModifiedBy>Jason Peel</cp:lastModifiedBy>
  <cp:revision/>
  <dcterms:created xsi:type="dcterms:W3CDTF">2024-11-11T16:57:18Z</dcterms:created>
  <dcterms:modified xsi:type="dcterms:W3CDTF">2026-09-24T12:41:18Z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0x010100BF3F032F598DCD408FDADE655524E275</vt:lpwstr>
  </property>
  <property fmtid="{D5CDD505-2E9C-101B-9397-08002B2CF9AE}" pid="3" name="MediaServiceImageTags">
    <vt:lpwstr/>
  </property>
</Properties>
</file>